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FRA0-FIC013\projet\DPP-Direction\SNMD\Programmes\PAGASTC\PADTC_2024\Reddition de comptes\Formulaire\"/>
    </mc:Choice>
  </mc:AlternateContent>
  <xr:revisionPtr revIDLastSave="0" documentId="8_{55AE54C9-7676-4183-9786-42DCBDE1DF98}" xr6:coauthVersionLast="47" xr6:coauthVersionMax="47" xr10:uidLastSave="{00000000-0000-0000-0000-000000000000}"/>
  <workbookProtection workbookAlgorithmName="SHA-512" workbookHashValue="4B1WJCIWYBcCPCvkyRzY/HGeficn2ObKtn/3MTLQ7p3GghPJdocsTKMpLhevWgvMF4bmKv5ouu3S7ZLC3p6afw==" workbookSaltValue="hWRcbaFJX0SxI3uU2E2qEA==" workbookSpinCount="100000" lockStructure="1"/>
  <bookViews>
    <workbookView xWindow="768" yWindow="768" windowWidth="17280" windowHeight="8964" tabRatio="907" activeTab="1" xr2:uid="{00000000-000D-0000-FFFF-FFFF00000000}"/>
  </bookViews>
  <sheets>
    <sheet name="Instructions" sheetId="15" r:id="rId1"/>
    <sheet name="PTAS non-électrique - Régie" sheetId="2" r:id="rId2"/>
    <sheet name="PTAS électrique - Régie" sheetId="16" r:id="rId3"/>
    <sheet name="PTAS non-électrique - Contrat" sheetId="7" r:id="rId4"/>
    <sheet name="PTAS électrique - Contrat" sheetId="17" r:id="rId5"/>
    <sheet name="PTAS - Métro" sheetId="8" r:id="rId6"/>
    <sheet name="PTAS - Train" sheetId="9" r:id="rId7"/>
    <sheet name="PTAS - Dépenses" sheetId="14" r:id="rId8"/>
    <sheet name="PTOS" sheetId="20" r:id="rId9"/>
    <sheet name="Résultats" sheetId="19" state="hidden" r:id="rId10"/>
    <sheet name="ref_var" sheetId="10" state="hidden" r:id="rId11"/>
    <sheet name="ref_data" sheetId="11" state="hidden" r:id="rId12"/>
    <sheet name="ref_ges" sheetId="12" state="hidden" r:id="rId13"/>
  </sheets>
  <definedNames>
    <definedName name="_xlnm.Print_Titles" localSheetId="6">'PTAS - Train'!$1:$10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0" l="1"/>
  <c r="K30" i="12" l="1"/>
  <c r="J30" i="12"/>
  <c r="I30" i="12"/>
  <c r="H27" i="12"/>
  <c r="H28" i="12"/>
  <c r="H26" i="12"/>
  <c r="H25" i="12"/>
  <c r="G15" i="11" l="1"/>
  <c r="N15" i="11" s="1"/>
  <c r="F15" i="11"/>
  <c r="F10" i="11"/>
  <c r="G37" i="20"/>
  <c r="F37" i="20"/>
  <c r="G41" i="20"/>
  <c r="F41" i="20"/>
  <c r="D34" i="20"/>
  <c r="E34" i="20"/>
  <c r="F34" i="20"/>
  <c r="G34" i="20"/>
  <c r="L11" i="12"/>
  <c r="E24" i="14"/>
  <c r="H4" i="12" s="1"/>
  <c r="D24" i="14"/>
  <c r="I4" i="12"/>
  <c r="F24" i="14"/>
  <c r="K4" i="12"/>
  <c r="F26" i="14"/>
  <c r="O11" i="12"/>
  <c r="N11" i="12"/>
  <c r="M11" i="12"/>
  <c r="B11" i="12"/>
  <c r="C11" i="12"/>
  <c r="D11" i="12"/>
  <c r="E11" i="12"/>
  <c r="F11" i="12"/>
  <c r="G11" i="12"/>
  <c r="H11" i="12"/>
  <c r="I11" i="12"/>
  <c r="J11" i="12"/>
  <c r="K11" i="12"/>
  <c r="A11" i="12"/>
  <c r="G7" i="12"/>
  <c r="F7" i="12"/>
  <c r="E7" i="12"/>
  <c r="D7" i="12"/>
  <c r="Q17" i="8"/>
  <c r="P17" i="8"/>
  <c r="O15" i="8"/>
  <c r="P20" i="16"/>
  <c r="P26" i="16"/>
  <c r="P27" i="16"/>
  <c r="P33" i="16"/>
  <c r="P34" i="16"/>
  <c r="P40" i="16"/>
  <c r="P41" i="16"/>
  <c r="P47" i="16"/>
  <c r="P48" i="16"/>
  <c r="P54" i="16"/>
  <c r="P61" i="16"/>
  <c r="P69" i="16"/>
  <c r="P20" i="17"/>
  <c r="P26" i="17"/>
  <c r="P27" i="17"/>
  <c r="P33" i="17"/>
  <c r="P34" i="17"/>
  <c r="P40" i="17"/>
  <c r="P41" i="17"/>
  <c r="P47" i="17"/>
  <c r="P48" i="17"/>
  <c r="P54" i="17"/>
  <c r="P61" i="17"/>
  <c r="P69" i="17"/>
  <c r="P20" i="2"/>
  <c r="P26" i="2"/>
  <c r="P27" i="2"/>
  <c r="P33" i="2"/>
  <c r="P34" i="2"/>
  <c r="P40" i="2"/>
  <c r="P10" i="2" s="1"/>
  <c r="P41" i="2"/>
  <c r="P47" i="2"/>
  <c r="P48" i="2"/>
  <c r="P54" i="2"/>
  <c r="P61" i="2"/>
  <c r="P69" i="2"/>
  <c r="P20" i="7"/>
  <c r="P26" i="7"/>
  <c r="P27" i="7"/>
  <c r="P33" i="7"/>
  <c r="P34" i="7"/>
  <c r="P40" i="7"/>
  <c r="P41" i="7"/>
  <c r="P47" i="7"/>
  <c r="P48" i="7"/>
  <c r="P54" i="7"/>
  <c r="P61" i="7"/>
  <c r="P69" i="7"/>
  <c r="G6" i="12"/>
  <c r="F6" i="12"/>
  <c r="E6" i="12"/>
  <c r="D6" i="12"/>
  <c r="E4" i="12"/>
  <c r="R4" i="12" s="1"/>
  <c r="R5" i="12" s="1"/>
  <c r="R6" i="12" s="1"/>
  <c r="R7" i="12" s="1"/>
  <c r="G4" i="12"/>
  <c r="D4" i="12"/>
  <c r="F4" i="12"/>
  <c r="P21" i="9"/>
  <c r="P27" i="9"/>
  <c r="P38" i="9"/>
  <c r="P44" i="9"/>
  <c r="P55" i="9"/>
  <c r="P61" i="9"/>
  <c r="P72" i="9"/>
  <c r="P78" i="9"/>
  <c r="P89" i="9"/>
  <c r="P95" i="9"/>
  <c r="P106" i="9"/>
  <c r="P112" i="9"/>
  <c r="P123" i="9"/>
  <c r="P129" i="9"/>
  <c r="Q21" i="9"/>
  <c r="Q27" i="9"/>
  <c r="Q38" i="9"/>
  <c r="Q44" i="9"/>
  <c r="Q55" i="9"/>
  <c r="Q61" i="9"/>
  <c r="Q72" i="9"/>
  <c r="Q78" i="9"/>
  <c r="Q89" i="9"/>
  <c r="Q95" i="9"/>
  <c r="Q106" i="9"/>
  <c r="Q112" i="9"/>
  <c r="Q123" i="9"/>
  <c r="Q129" i="9"/>
  <c r="O20" i="2"/>
  <c r="O26" i="2"/>
  <c r="O27" i="2"/>
  <c r="O33" i="2"/>
  <c r="O34" i="2"/>
  <c r="O40" i="2"/>
  <c r="O41" i="2"/>
  <c r="O47" i="2"/>
  <c r="O48" i="2"/>
  <c r="O54" i="2"/>
  <c r="O61" i="2"/>
  <c r="O69" i="2"/>
  <c r="O20" i="7"/>
  <c r="O26" i="7"/>
  <c r="O10" i="7"/>
  <c r="O27" i="7"/>
  <c r="O33" i="7"/>
  <c r="O34" i="7"/>
  <c r="O40" i="7"/>
  <c r="O41" i="7"/>
  <c r="O47" i="7"/>
  <c r="O48" i="7"/>
  <c r="O54" i="7"/>
  <c r="O61" i="7"/>
  <c r="O69" i="7"/>
  <c r="O20" i="17"/>
  <c r="O26" i="17"/>
  <c r="O27" i="17"/>
  <c r="O33" i="17"/>
  <c r="O34" i="17"/>
  <c r="O40" i="17"/>
  <c r="O41" i="17"/>
  <c r="O47" i="17"/>
  <c r="O48" i="17"/>
  <c r="O54" i="17"/>
  <c r="O61" i="17"/>
  <c r="O69" i="17"/>
  <c r="O20" i="16"/>
  <c r="O26" i="16"/>
  <c r="O27" i="16"/>
  <c r="O33" i="16"/>
  <c r="O34" i="16"/>
  <c r="O40" i="16"/>
  <c r="O41" i="16"/>
  <c r="O47" i="16"/>
  <c r="O48" i="16"/>
  <c r="O54" i="16"/>
  <c r="O61" i="16"/>
  <c r="O69" i="16"/>
  <c r="O21" i="9"/>
  <c r="O27" i="9"/>
  <c r="O38" i="9"/>
  <c r="O44" i="9"/>
  <c r="O55" i="9"/>
  <c r="O61" i="9"/>
  <c r="O72" i="9"/>
  <c r="O78" i="9"/>
  <c r="O89" i="9"/>
  <c r="O95" i="9"/>
  <c r="O106" i="9"/>
  <c r="O112" i="9"/>
  <c r="O123" i="9"/>
  <c r="O129" i="9"/>
  <c r="E5" i="12"/>
  <c r="G5" i="12"/>
  <c r="N21" i="9"/>
  <c r="N27" i="9"/>
  <c r="N38" i="9"/>
  <c r="N44" i="9"/>
  <c r="N55" i="9"/>
  <c r="N61" i="9"/>
  <c r="N72" i="9"/>
  <c r="N78" i="9"/>
  <c r="N89" i="9"/>
  <c r="N95" i="9"/>
  <c r="N106" i="9"/>
  <c r="N112" i="9"/>
  <c r="N123" i="9"/>
  <c r="N129" i="9"/>
  <c r="N20" i="17"/>
  <c r="N26" i="17"/>
  <c r="N27" i="17"/>
  <c r="N33" i="17"/>
  <c r="N34" i="17"/>
  <c r="N40" i="17"/>
  <c r="N41" i="17"/>
  <c r="N47" i="17"/>
  <c r="N48" i="17"/>
  <c r="N54" i="17"/>
  <c r="N61" i="17"/>
  <c r="N69" i="17"/>
  <c r="N20" i="16"/>
  <c r="N26" i="16"/>
  <c r="N27" i="16"/>
  <c r="N33" i="16"/>
  <c r="N34" i="16"/>
  <c r="N40" i="16"/>
  <c r="N41" i="16"/>
  <c r="N47" i="16"/>
  <c r="N48" i="16"/>
  <c r="N54" i="16"/>
  <c r="N61" i="16"/>
  <c r="N69" i="16"/>
  <c r="N20" i="7"/>
  <c r="N26" i="7"/>
  <c r="N27" i="7"/>
  <c r="N33" i="7"/>
  <c r="N34" i="7"/>
  <c r="N40" i="7"/>
  <c r="N10" i="7" s="1"/>
  <c r="N41" i="7"/>
  <c r="N47" i="7"/>
  <c r="N48" i="7"/>
  <c r="N54" i="7"/>
  <c r="N61" i="7"/>
  <c r="N69" i="7"/>
  <c r="N20" i="2"/>
  <c r="N26" i="2"/>
  <c r="N27" i="2"/>
  <c r="N33" i="2"/>
  <c r="N34" i="2"/>
  <c r="N40" i="2"/>
  <c r="N41" i="2"/>
  <c r="N47" i="2"/>
  <c r="N48" i="2"/>
  <c r="N54" i="2"/>
  <c r="N61" i="2"/>
  <c r="N69" i="2"/>
  <c r="F5" i="12"/>
  <c r="D5" i="12"/>
  <c r="D6" i="8"/>
  <c r="A4" i="12"/>
  <c r="N8" i="8"/>
  <c r="A5" i="12"/>
  <c r="O16" i="8"/>
  <c r="O17" i="8"/>
  <c r="O22" i="8"/>
  <c r="O23" i="8"/>
  <c r="O24" i="8"/>
  <c r="O29" i="8"/>
  <c r="O30" i="8"/>
  <c r="O31" i="8"/>
  <c r="O36" i="8"/>
  <c r="O37" i="8"/>
  <c r="O38" i="8"/>
  <c r="O43" i="8"/>
  <c r="O44" i="8"/>
  <c r="O45" i="8"/>
  <c r="P15" i="8"/>
  <c r="P16" i="8"/>
  <c r="P22" i="8"/>
  <c r="P23" i="8"/>
  <c r="P24" i="8"/>
  <c r="P29" i="8"/>
  <c r="P30" i="8"/>
  <c r="P31" i="8"/>
  <c r="P36" i="8"/>
  <c r="P37" i="8"/>
  <c r="P38" i="8"/>
  <c r="P43" i="8"/>
  <c r="P44" i="8"/>
  <c r="P45" i="8"/>
  <c r="Q15" i="8"/>
  <c r="Q16" i="8"/>
  <c r="Q22" i="8"/>
  <c r="Q23" i="8"/>
  <c r="Q24" i="8"/>
  <c r="Q29" i="8"/>
  <c r="Q30" i="8"/>
  <c r="Q31" i="8"/>
  <c r="Q36" i="8"/>
  <c r="Q37" i="8"/>
  <c r="Q38" i="8"/>
  <c r="Q43" i="8"/>
  <c r="Q44" i="8"/>
  <c r="Q45" i="8"/>
  <c r="N15" i="8"/>
  <c r="N16" i="8"/>
  <c r="N17" i="8"/>
  <c r="N22" i="8"/>
  <c r="N23" i="8"/>
  <c r="N24" i="8"/>
  <c r="N29" i="8"/>
  <c r="N30" i="8"/>
  <c r="N31" i="8"/>
  <c r="N36" i="8"/>
  <c r="N37" i="8"/>
  <c r="N38" i="8"/>
  <c r="N43" i="8"/>
  <c r="N44" i="8"/>
  <c r="N45" i="8"/>
  <c r="O8" i="8"/>
  <c r="Q69" i="17"/>
  <c r="Q61" i="17"/>
  <c r="Q48" i="17"/>
  <c r="Q54" i="17"/>
  <c r="Q41" i="17"/>
  <c r="Q47" i="17"/>
  <c r="Q34" i="17"/>
  <c r="Q40" i="17"/>
  <c r="Q27" i="17"/>
  <c r="Q33" i="17"/>
  <c r="Q20" i="17"/>
  <c r="Q26" i="17"/>
  <c r="D8" i="17"/>
  <c r="Q69" i="16"/>
  <c r="Q61" i="16"/>
  <c r="Q48" i="16"/>
  <c r="Q54" i="16"/>
  <c r="Q41" i="16"/>
  <c r="Q47" i="16"/>
  <c r="Q34" i="16"/>
  <c r="Q40" i="16"/>
  <c r="Q10" i="16" s="1"/>
  <c r="C7" i="12" s="1"/>
  <c r="Q27" i="16"/>
  <c r="Q33" i="16"/>
  <c r="Q20" i="16"/>
  <c r="Q26" i="16"/>
  <c r="D8" i="16"/>
  <c r="Q69" i="7"/>
  <c r="Q61" i="7"/>
  <c r="Q48" i="7"/>
  <c r="Q54" i="7"/>
  <c r="Q41" i="7"/>
  <c r="Q47" i="7"/>
  <c r="Q34" i="7"/>
  <c r="Q40" i="7"/>
  <c r="Q27" i="7"/>
  <c r="Q33" i="7"/>
  <c r="Q20" i="7"/>
  <c r="Q26" i="7"/>
  <c r="N8" i="7"/>
  <c r="Q48" i="2"/>
  <c r="Q54" i="2"/>
  <c r="Q20" i="2"/>
  <c r="Q26" i="2"/>
  <c r="Q27" i="2"/>
  <c r="Q33" i="2"/>
  <c r="Q34" i="2"/>
  <c r="Q40" i="2"/>
  <c r="Q10" i="2" s="1"/>
  <c r="B7" i="12" s="1"/>
  <c r="Q41" i="2"/>
  <c r="Q47" i="2"/>
  <c r="Q61" i="2"/>
  <c r="Q69" i="2"/>
  <c r="N8" i="2"/>
  <c r="G24" i="11"/>
  <c r="D8" i="8"/>
  <c r="D8" i="9"/>
  <c r="D8" i="7"/>
  <c r="D8" i="2"/>
  <c r="F24" i="10"/>
  <c r="F23" i="10"/>
  <c r="F11" i="10"/>
  <c r="F10" i="10"/>
  <c r="F7" i="10"/>
  <c r="F9" i="10"/>
  <c r="F6" i="10"/>
  <c r="F8" i="10"/>
  <c r="F3" i="10"/>
  <c r="E26" i="14"/>
  <c r="D26" i="14"/>
  <c r="I5" i="12"/>
  <c r="I6" i="12"/>
  <c r="I7" i="12"/>
  <c r="N10" i="8"/>
  <c r="F8" i="8"/>
  <c r="N8" i="16"/>
  <c r="N8" i="17"/>
  <c r="O8" i="16"/>
  <c r="O8" i="17"/>
  <c r="A6" i="12"/>
  <c r="F8" i="7"/>
  <c r="O8" i="7"/>
  <c r="N8" i="9"/>
  <c r="E8" i="19"/>
  <c r="O8" i="9"/>
  <c r="F8" i="2"/>
  <c r="F8" i="9"/>
  <c r="O8" i="2"/>
  <c r="F8" i="16"/>
  <c r="F8" i="17"/>
  <c r="Q10" i="9"/>
  <c r="J7" i="12"/>
  <c r="N10" i="9"/>
  <c r="J4" i="12"/>
  <c r="O10" i="9"/>
  <c r="J5" i="12"/>
  <c r="P10" i="9"/>
  <c r="J6" i="12"/>
  <c r="Q10" i="8"/>
  <c r="P10" i="8"/>
  <c r="O10" i="8"/>
  <c r="Q10" i="7"/>
  <c r="Q10" i="17"/>
  <c r="O10" i="17"/>
  <c r="N10" i="17"/>
  <c r="N10" i="16"/>
  <c r="C4" i="12"/>
  <c r="P10" i="7"/>
  <c r="P10" i="17"/>
  <c r="P10" i="16"/>
  <c r="K5" i="12"/>
  <c r="K6" i="12"/>
  <c r="K7" i="12"/>
  <c r="O10" i="16"/>
  <c r="C5" i="12"/>
  <c r="H8" i="17"/>
  <c r="H8" i="9"/>
  <c r="H8" i="2"/>
  <c r="P8" i="9"/>
  <c r="P8" i="17"/>
  <c r="P8" i="16"/>
  <c r="P8" i="8"/>
  <c r="H8" i="16"/>
  <c r="P8" i="7"/>
  <c r="H8" i="8"/>
  <c r="H8" i="7"/>
  <c r="A7" i="12"/>
  <c r="F8" i="19"/>
  <c r="P8" i="2"/>
  <c r="C6" i="12"/>
  <c r="G8" i="19"/>
  <c r="Q8" i="2"/>
  <c r="Q8" i="9"/>
  <c r="J8" i="9"/>
  <c r="Q8" i="17"/>
  <c r="Q8" i="16"/>
  <c r="Q8" i="7"/>
  <c r="J8" i="8"/>
  <c r="J8" i="7"/>
  <c r="Q8" i="8"/>
  <c r="J8" i="16"/>
  <c r="J8" i="2"/>
  <c r="J8" i="17"/>
  <c r="H5" i="12" l="1"/>
  <c r="H6" i="12" s="1"/>
  <c r="H7" i="12" s="1"/>
  <c r="H21" i="12"/>
  <c r="D6" i="9"/>
  <c r="D6" i="19"/>
  <c r="D6" i="20"/>
  <c r="D6" i="14"/>
  <c r="B2" i="12"/>
  <c r="D6" i="2"/>
  <c r="D6" i="17"/>
  <c r="D6" i="16"/>
  <c r="D6" i="7"/>
  <c r="B6" i="12"/>
  <c r="N10" i="2"/>
  <c r="B4" i="12" s="1"/>
  <c r="H22" i="12" s="1"/>
  <c r="O10" i="2"/>
  <c r="B5" i="12" s="1"/>
  <c r="O12" i="12" l="1"/>
  <c r="K12" i="12"/>
  <c r="M12" i="12"/>
  <c r="C12" i="12"/>
  <c r="N12" i="12"/>
  <c r="D12" i="12"/>
  <c r="L12" i="12"/>
  <c r="E12" i="12"/>
  <c r="I12" i="12"/>
  <c r="F12" i="12"/>
  <c r="G12" i="12"/>
  <c r="A12" i="12"/>
  <c r="H12" i="12"/>
  <c r="J12" i="12"/>
  <c r="B12" i="12"/>
  <c r="F16" i="12" l="1"/>
  <c r="T7" i="12" s="1"/>
  <c r="S4" i="12"/>
  <c r="H23" i="12"/>
  <c r="I16" i="12"/>
  <c r="C16" i="12"/>
  <c r="H24" i="12" s="1"/>
  <c r="W4" i="12"/>
  <c r="W5" i="12" s="1"/>
  <c r="W6" i="12" s="1"/>
  <c r="W7" i="12" s="1"/>
  <c r="E12" i="19"/>
  <c r="E25" i="19" s="1"/>
  <c r="N6" i="12"/>
  <c r="P6" i="12" s="1"/>
  <c r="T5" i="12"/>
  <c r="N4" i="12"/>
  <c r="P4" i="12" s="1"/>
  <c r="M6" i="12"/>
  <c r="O6" i="12" s="1"/>
  <c r="N7" i="12"/>
  <c r="P7" i="12" s="1"/>
  <c r="S5" i="12"/>
  <c r="T6" i="12"/>
  <c r="M4" i="12"/>
  <c r="O4" i="12" s="1"/>
  <c r="S6" i="12"/>
  <c r="S7" i="12"/>
  <c r="U6" i="12"/>
  <c r="V6" i="12" s="1"/>
  <c r="U4" i="12"/>
  <c r="V4" i="12" s="1"/>
  <c r="U5" i="12"/>
  <c r="V5" i="12" s="1"/>
  <c r="U7" i="12"/>
  <c r="V7" i="12" s="1"/>
  <c r="T4" i="12" l="1"/>
  <c r="N5" i="12"/>
  <c r="P5" i="12" s="1"/>
  <c r="M7" i="12"/>
  <c r="O7" i="12" s="1"/>
  <c r="G24" i="19" s="1"/>
  <c r="M5" i="12"/>
  <c r="O5" i="12" s="1"/>
  <c r="E24" i="19" s="1"/>
  <c r="Q4" i="12"/>
  <c r="Q5" i="12" s="1"/>
  <c r="Q6" i="12" s="1"/>
  <c r="Q7" i="12" s="1"/>
  <c r="Y7" i="12" s="1"/>
  <c r="E19" i="19"/>
  <c r="E27" i="19" s="1"/>
  <c r="E13" i="19"/>
  <c r="F24" i="19"/>
  <c r="X7" i="12" l="1"/>
  <c r="G26" i="19" s="1"/>
  <c r="X5" i="12"/>
  <c r="E26" i="19" s="1"/>
  <c r="E29" i="19" s="1"/>
  <c r="Y6" i="12"/>
  <c r="Y5" i="12"/>
  <c r="X6" i="12"/>
  <c r="F26" i="19" s="1"/>
  <c r="F15" i="19"/>
  <c r="F17" i="19" s="1"/>
  <c r="E15" i="19"/>
  <c r="E16" i="19" s="1"/>
  <c r="E21" i="19" s="1"/>
  <c r="G15" i="19"/>
  <c r="G17" i="19" s="1"/>
  <c r="F25" i="19" l="1"/>
  <c r="G25" i="19"/>
  <c r="F12" i="19"/>
  <c r="F19" i="19" s="1"/>
  <c r="F27" i="19" s="1"/>
  <c r="F29" i="19" s="1"/>
  <c r="E17" i="19"/>
  <c r="F13" i="19" s="1"/>
  <c r="G13" i="19" s="1"/>
  <c r="E30" i="19"/>
  <c r="F16" i="19"/>
  <c r="G16" i="19"/>
  <c r="F21" i="19" l="1"/>
  <c r="F30" i="19" s="1"/>
  <c r="G12" i="19"/>
  <c r="G19" i="19" s="1"/>
  <c r="G27" i="19" s="1"/>
  <c r="G29" i="19" s="1"/>
  <c r="G21" i="19" l="1"/>
  <c r="G30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Vignola, Vincent</author>
    <author>Bolduc, Alain</author>
  </authors>
  <commentList>
    <comment ref="J2" authorId="0" shapeId="0" xr:uid="{55761279-82C6-4537-9A13-9C8CBCCB49F7}">
      <text>
        <r>
          <rPr>
            <b/>
            <sz val="9"/>
            <color indexed="81"/>
            <rFont val="Tahoma"/>
            <family val="2"/>
          </rPr>
          <t>Vignola, Vincent:</t>
        </r>
        <r>
          <rPr>
            <sz val="9"/>
            <color indexed="81"/>
            <rFont val="Tahoma"/>
            <family val="2"/>
          </rPr>
          <t xml:space="preserve">
Éventuellement, cette donnée sera établie à partir de la moyenne 2021, si non disponible.</t>
        </r>
      </text>
    </comment>
    <comment ref="C10" authorId="1" shapeId="0" xr:uid="{C68A0C68-626B-4015-9B82-FECC501A0A04}">
      <text>
        <r>
          <rPr>
            <b/>
            <sz val="9"/>
            <color indexed="81"/>
            <rFont val="Tahoma"/>
            <charset val="1"/>
          </rPr>
          <t>Bolduc, Alain:</t>
        </r>
        <r>
          <rPr>
            <sz val="9"/>
            <color indexed="81"/>
            <rFont val="Tahoma"/>
            <charset val="1"/>
          </rPr>
          <t xml:space="preserve">
cas particulier qui nécessite de changer l'année de référence de 2006 à 2020</t>
        </r>
      </text>
    </comment>
    <comment ref="K15" authorId="1" shapeId="0" xr:uid="{8C13AB7E-876A-4101-98AE-8C9B7A9D3150}">
      <text>
        <r>
          <rPr>
            <b/>
            <sz val="9"/>
            <color indexed="81"/>
            <rFont val="Tahoma"/>
            <charset val="1"/>
          </rPr>
          <t>Bolduc, Alain:</t>
        </r>
        <r>
          <rPr>
            <sz val="9"/>
            <color indexed="81"/>
            <rFont val="Tahoma"/>
            <charset val="1"/>
          </rPr>
          <t xml:space="preserve">
donnée de 2021</t>
        </r>
      </text>
    </comment>
    <comment ref="O24" authorId="0" shapeId="0" xr:uid="{EE9473E7-F337-43BF-A794-8AC67E19093D}">
      <text>
        <r>
          <rPr>
            <b/>
            <sz val="9"/>
            <color indexed="81"/>
            <rFont val="Tahoma"/>
            <family val="2"/>
          </rPr>
          <t>Vignola, Vincent:</t>
        </r>
        <r>
          <rPr>
            <sz val="9"/>
            <color indexed="81"/>
            <rFont val="Tahoma"/>
            <family val="2"/>
          </rPr>
          <t xml:space="preserve">
PAGTCP moins 42 431 pour avoir l'équivalent du -90 150 que l'on retrouve dans le calcul original d'Alain.</t>
        </r>
      </text>
    </comment>
    <comment ref="K28" authorId="0" shapeId="0" xr:uid="{7AD9BAD3-9D1F-4024-9D83-DE84F9430694}">
      <text>
        <r>
          <rPr>
            <b/>
            <sz val="9"/>
            <color indexed="81"/>
            <rFont val="Tahoma"/>
            <charset val="1"/>
          </rPr>
          <t>Vignola, Vincent:</t>
        </r>
        <r>
          <rPr>
            <sz val="9"/>
            <color indexed="81"/>
            <rFont val="Tahoma"/>
            <charset val="1"/>
          </rPr>
          <t xml:space="preserve">
Donnée de 2022.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Vignola, Vincent</author>
  </authors>
  <commentList>
    <comment ref="Q3" authorId="0" shapeId="0" xr:uid="{F3BF2C6D-B96F-4D7C-ABF1-EB36F8E74E6C}">
      <text>
        <r>
          <rPr>
            <b/>
            <sz val="9"/>
            <color indexed="81"/>
            <rFont val="Tahoma"/>
            <family val="2"/>
          </rPr>
          <t>Vignola, Vincent:</t>
        </r>
        <r>
          <rPr>
            <sz val="9"/>
            <color indexed="81"/>
            <rFont val="Tahoma"/>
            <family val="2"/>
          </rPr>
          <t xml:space="preserve">
Calculé seulement une fois.</t>
        </r>
      </text>
    </comment>
    <comment ref="R3" authorId="0" shapeId="0" xr:uid="{B05DC779-CD03-494E-A43E-A7376FAAFCF2}">
      <text>
        <r>
          <rPr>
            <b/>
            <sz val="9"/>
            <color indexed="81"/>
            <rFont val="Tahoma"/>
            <family val="2"/>
          </rPr>
          <t>Vignola, Vincent:</t>
        </r>
        <r>
          <rPr>
            <sz val="9"/>
            <color indexed="81"/>
            <rFont val="Tahoma"/>
            <family val="2"/>
          </rPr>
          <t xml:space="preserve">
Calculé seulement une fois.</t>
        </r>
      </text>
    </comment>
    <comment ref="C15" authorId="0" shapeId="0" xr:uid="{C0BB0186-CAFA-43C1-8561-A2151B14AAE7}">
      <text>
        <r>
          <rPr>
            <b/>
            <sz val="9"/>
            <color indexed="81"/>
            <rFont val="Tahoma"/>
            <family val="2"/>
          </rPr>
          <t>Vignola, Vincent:</t>
        </r>
        <r>
          <rPr>
            <sz val="9"/>
            <color indexed="81"/>
            <rFont val="Tahoma"/>
            <family val="2"/>
          </rPr>
          <t xml:space="preserve">
DEPLC_BASE - DEPLC_TA_CALCL</t>
        </r>
      </text>
    </comment>
    <comment ref="F15" authorId="0" shapeId="0" xr:uid="{2F4BAF4D-29CD-4B12-9D56-CC4F00C0B4EC}">
      <text>
        <r>
          <rPr>
            <b/>
            <sz val="9"/>
            <color indexed="81"/>
            <rFont val="Tahoma"/>
            <family val="2"/>
          </rPr>
          <t>Vignola, Vincent:</t>
        </r>
        <r>
          <rPr>
            <sz val="9"/>
            <color indexed="81"/>
            <rFont val="Tahoma"/>
            <family val="2"/>
          </rPr>
          <t xml:space="preserve">
(DEPLC_TA_ICE+DEPLC_TA_ELC) ÷ (COURS_TA_ICE+COURS_TA_ELC) x
COURS_TA_BASE</t>
        </r>
      </text>
    </comment>
  </commentList>
</comments>
</file>

<file path=xl/sharedStrings.xml><?xml version="1.0" encoding="utf-8"?>
<sst xmlns="http://schemas.openxmlformats.org/spreadsheetml/2006/main" count="902" uniqueCount="329">
  <si>
    <t>Taxibus</t>
  </si>
  <si>
    <t>Nombre de véhicules en pointe</t>
  </si>
  <si>
    <t>Nombre de kilomètres en service commercial</t>
  </si>
  <si>
    <t>Minibus</t>
  </si>
  <si>
    <t>Intermédiaire</t>
  </si>
  <si>
    <t>Autobus</t>
  </si>
  <si>
    <t>Autocar</t>
  </si>
  <si>
    <t>Notes</t>
  </si>
  <si>
    <t>prévisionnel</t>
  </si>
  <si>
    <t>Services
réguliers</t>
  </si>
  <si>
    <t>Autobus articulé</t>
  </si>
  <si>
    <t>Autre (précisez ici le type de véhicule)</t>
  </si>
  <si>
    <t>Métro de Montréal - Ligne 1</t>
  </si>
  <si>
    <t>Métro de Montréal - Ligne 2</t>
  </si>
  <si>
    <t>Métro de Montréal - Ligne 4</t>
  </si>
  <si>
    <t>Métro de Montréal - Ligne 5</t>
  </si>
  <si>
    <t>Métro de Laval - Ligne 2</t>
  </si>
  <si>
    <t>MR63 - Nombre de kilomètres en service commercial</t>
  </si>
  <si>
    <t>MR73 - Nombre de kilomètres en service commercial</t>
  </si>
  <si>
    <t>MPM10 - Nombre de kilomètres en service commercial</t>
  </si>
  <si>
    <t>Type de voiture</t>
  </si>
  <si>
    <t>Type de véhicule</t>
  </si>
  <si>
    <t>Nombre de véhicules immatriculés</t>
  </si>
  <si>
    <t>Programme d’aide au développement du transport collectif</t>
  </si>
  <si>
    <t>Mesures
d’atténuation</t>
  </si>
  <si>
    <t>Nombre d’heures en service commercial</t>
  </si>
  <si>
    <t>Nombre total de véhicules immatriculés</t>
  </si>
  <si>
    <t>Ligne Delson</t>
  </si>
  <si>
    <t>Ligne Deux-Montagnes</t>
  </si>
  <si>
    <t>Ligne Mascouche</t>
  </si>
  <si>
    <t>Ligne Rigaud</t>
  </si>
  <si>
    <t>Ligne Saint-Hilaire</t>
  </si>
  <si>
    <t>Voitures à un étage</t>
  </si>
  <si>
    <t>Nombre de voitures de train</t>
  </si>
  <si>
    <t>Nombre de trains-heures</t>
  </si>
  <si>
    <t>Voitures à deux étages</t>
  </si>
  <si>
    <t>Nombre de départs vers Montréal</t>
  </si>
  <si>
    <t>Nombre de départs de Montréal</t>
  </si>
  <si>
    <t>Voiture à un étage</t>
  </si>
  <si>
    <t>Voiture à deux étages</t>
  </si>
  <si>
    <t>Volet 1 – Aide financière au transport en commun urbain</t>
  </si>
  <si>
    <r>
      <t>Nom de l’autorité organisatrice de transport</t>
    </r>
    <r>
      <rPr>
        <sz val="12"/>
        <color theme="1"/>
        <rFont val="Calibri"/>
        <family val="2"/>
      </rPr>
      <t> </t>
    </r>
    <r>
      <rPr>
        <sz val="12"/>
        <color theme="1"/>
        <rFont val="Calibri"/>
        <family val="2"/>
        <scheme val="minor"/>
      </rPr>
      <t>:</t>
    </r>
  </si>
  <si>
    <r>
      <t>Ligne Blainville</t>
    </r>
    <r>
      <rPr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  <scheme val="minor"/>
      </rPr>
      <t>Saint-Jérôme</t>
    </r>
  </si>
  <si>
    <t>Type de matériel roulant</t>
  </si>
  <si>
    <t>Capacité</t>
  </si>
  <si>
    <t>Note</t>
  </si>
  <si>
    <t>Nom de la variable</t>
  </si>
  <si>
    <t>Valeur</t>
  </si>
  <si>
    <t>Élasticité</t>
  </si>
  <si>
    <t>voir onglet Alfred (colonne F); ARTM</t>
  </si>
  <si>
    <t>Part modale</t>
  </si>
  <si>
    <t>Enquête O-D 2008 Montréal</t>
  </si>
  <si>
    <t>Dist. moy. taxibus</t>
  </si>
  <si>
    <t>Taux d'occupation</t>
  </si>
  <si>
    <t>Coefficient auto</t>
  </si>
  <si>
    <t>Mémoire de Marion Voisin, pages 66/171 et 70/171. Exprimé en grammes CO2 éq par véh-km</t>
  </si>
  <si>
    <t>Autobus biarticulé</t>
  </si>
  <si>
    <t>Estimé plausible (Articulé + diff. entre articulé &amp; régulier)</t>
  </si>
  <si>
    <t>Coefficient TC</t>
  </si>
  <si>
    <t>Mémoire de Marion Voisin, pages 66/171 et 106/171. Exprimé en grammes CO2 éq par véh-km</t>
  </si>
  <si>
    <t>Midibus</t>
  </si>
  <si>
    <t>CTO auto</t>
  </si>
  <si>
    <t>Vicinity</t>
  </si>
  <si>
    <t>CTO autobus</t>
  </si>
  <si>
    <t>Tramway RSTC</t>
  </si>
  <si>
    <t>Analyse comparative des modes, page 55 (62 sur 66)</t>
  </si>
  <si>
    <t>Final auto</t>
  </si>
  <si>
    <t>Mémoire de Marion Voisin, pages 66/171 et 71/171. Exprimé en grammes CO2 éq par véh-km</t>
  </si>
  <si>
    <t>REM (par rame)</t>
  </si>
  <si>
    <t>Final autobus</t>
  </si>
  <si>
    <t>Mémoire de Marion Voisin, pages 66/171 et 107/171. Exprimé en grammes CO2 éq par véh-km</t>
  </si>
  <si>
    <t>MR-73 et MR-90</t>
  </si>
  <si>
    <t>MR63, MR73; 20180802 Presentation de projets - Transport en commun - Azur (page 5)</t>
  </si>
  <si>
    <t>Taux de transfert</t>
  </si>
  <si>
    <t>En passagers, pas en véhicules. Enquête O-D Montréal 2013</t>
  </si>
  <si>
    <t>Azur</t>
  </si>
  <si>
    <t>MPM10; 20180802 Presentation de projets - Transport en commun - Azur (page 5)</t>
  </si>
  <si>
    <t>Distance moyenne</t>
  </si>
  <si>
    <t>Montréal 2013</t>
  </si>
  <si>
    <t>Ligne Blainville–Saint-Jérôme</t>
  </si>
  <si>
    <t>par train; voir onglet Alfred (colonne F)</t>
  </si>
  <si>
    <t>Nouveaux facteurs d'émission</t>
  </si>
  <si>
    <t>Automobile</t>
  </si>
  <si>
    <t>Exprimé en grammes CO2éq par pass-km</t>
  </si>
  <si>
    <t>Taxi</t>
  </si>
  <si>
    <t>Transport en commun</t>
  </si>
  <si>
    <t>AMT - Bombardier Cornet II</t>
  </si>
  <si>
    <t>voitures de train; Exo</t>
  </si>
  <si>
    <t>Vitesse commerciale</t>
  </si>
  <si>
    <t>AMT - Bombardier BiLevel VII_ 2 étages</t>
  </si>
  <si>
    <t>Autobus à contrat</t>
  </si>
  <si>
    <t>Données RTC</t>
  </si>
  <si>
    <t>AMT - Bombardier MultiLeve_ 2étages</t>
  </si>
  <si>
    <t>moyenne 2 étages</t>
  </si>
  <si>
    <t>voitures de train</t>
  </si>
  <si>
    <t>Courses à l'heure</t>
  </si>
  <si>
    <t>Vitesse ÷ distance moyenne (Taxibus)</t>
  </si>
  <si>
    <t>Déplacements par course</t>
  </si>
  <si>
    <t>Données 2018 MRC D'Autray</t>
  </si>
  <si>
    <t>Année</t>
  </si>
  <si>
    <t>AOT:</t>
  </si>
  <si>
    <t>Données saisies par l'AOT</t>
  </si>
  <si>
    <t>COURS_TA
_ICE</t>
  </si>
  <si>
    <t>DEPLC_TA
_ICE</t>
  </si>
  <si>
    <t>COURS_TA
_ELC</t>
  </si>
  <si>
    <t>DEPLC_TA
_ELC</t>
  </si>
  <si>
    <t>Autorité organisatrice de transport</t>
  </si>
  <si>
    <t>Sigle</t>
  </si>
  <si>
    <t>ANNEE
_TC</t>
  </si>
  <si>
    <t>DEPLC
_BASE</t>
  </si>
  <si>
    <t>ANNEE
_TA</t>
  </si>
  <si>
    <t>COURS_TA
_BASE</t>
  </si>
  <si>
    <t>DEPLC_TA
_BASE</t>
  </si>
  <si>
    <t>ACHLN
_PAGTCP</t>
  </si>
  <si>
    <t>Données fixes établies au début du programme</t>
  </si>
  <si>
    <t>Exo</t>
  </si>
  <si>
    <t>Société de transport de Montréal</t>
  </si>
  <si>
    <t>STM</t>
  </si>
  <si>
    <t>Réseau de transport de la Capitale</t>
  </si>
  <si>
    <t>RTC</t>
  </si>
  <si>
    <t>Réseau de transport de Longueuil</t>
  </si>
  <si>
    <t>RTL</t>
  </si>
  <si>
    <t>Société de transport de Laval</t>
  </si>
  <si>
    <t>STLaval</t>
  </si>
  <si>
    <t>Société de transport de l'Outaouais</t>
  </si>
  <si>
    <t>STO</t>
  </si>
  <si>
    <t>Société de transport de Sherbrooke</t>
  </si>
  <si>
    <t>STSher</t>
  </si>
  <si>
    <t>Société de transport du Saguenay</t>
  </si>
  <si>
    <t>STSag</t>
  </si>
  <si>
    <t>Société de transport de Lévis</t>
  </si>
  <si>
    <t>STLévis</t>
  </si>
  <si>
    <t>Société de transport de Trois-Rivières</t>
  </si>
  <si>
    <t>STTR</t>
  </si>
  <si>
    <t>Alma</t>
  </si>
  <si>
    <t>Baie-Comeau</t>
  </si>
  <si>
    <t xml:space="preserve">Drummondville </t>
  </si>
  <si>
    <t>Granby</t>
  </si>
  <si>
    <t>Mont-Tremblant</t>
  </si>
  <si>
    <t>MRC de D'Autray</t>
  </si>
  <si>
    <t>MRC de Jacques-Cartier</t>
  </si>
  <si>
    <t>MRC de Joliette</t>
  </si>
  <si>
    <t>MRC de Montcalm</t>
  </si>
  <si>
    <t>R.T.C. de Shawinigan</t>
  </si>
  <si>
    <t>RTCS</t>
  </si>
  <si>
    <t>RIT des Collines</t>
  </si>
  <si>
    <t xml:space="preserve">Rouyn-Noranda </t>
  </si>
  <si>
    <t>Saint-Georges</t>
  </si>
  <si>
    <t>Saint-Jean-sur-Richelieu</t>
  </si>
  <si>
    <t>Salaberry-de-Valleyfield</t>
  </si>
  <si>
    <t>Sept-Îles</t>
  </si>
  <si>
    <t>Thetford-Mines</t>
  </si>
  <si>
    <t>Val-d'Or</t>
  </si>
  <si>
    <t>Victoriaville</t>
  </si>
  <si>
    <t>Agence régionale de transport métropolitain</t>
  </si>
  <si>
    <t>ARTM</t>
  </si>
  <si>
    <t>A.M.T. (trains de banlieue)</t>
  </si>
  <si>
    <t>AMT</t>
  </si>
  <si>
    <t>A.M.T. (autobus)</t>
  </si>
  <si>
    <t xml:space="preserve">Chambly-Richelieu-Carignan </t>
  </si>
  <si>
    <t>CITCRC</t>
  </si>
  <si>
    <t xml:space="preserve">Haut-Saint-Laurent </t>
  </si>
  <si>
    <t>CITHSL</t>
  </si>
  <si>
    <t>Laurentides</t>
  </si>
  <si>
    <t>CITL</t>
  </si>
  <si>
    <t>Presqu'Île</t>
  </si>
  <si>
    <t>Le Richelain</t>
  </si>
  <si>
    <t xml:space="preserve">Roussillon </t>
  </si>
  <si>
    <t>Sud-Ouest</t>
  </si>
  <si>
    <t>CITSO</t>
  </si>
  <si>
    <t xml:space="preserve">Sorel-Varennes </t>
  </si>
  <si>
    <t>CITSV</t>
  </si>
  <si>
    <t xml:space="preserve">Vallée-du-Richelieu </t>
  </si>
  <si>
    <t>CITVR</t>
  </si>
  <si>
    <t>CRT Lanaudière</t>
  </si>
  <si>
    <t>CRTL</t>
  </si>
  <si>
    <t>Sainte-Julie</t>
  </si>
  <si>
    <t>PL_KM (M)
_BASE</t>
  </si>
  <si>
    <t>PL_KM (M)
_ICE</t>
  </si>
  <si>
    <t>PL_KM (M)
_ELC</t>
  </si>
  <si>
    <t>Extraction des données du tableau selon l'AOT choisi.</t>
  </si>
  <si>
    <t>DEPLC_GEN
_PL_KM</t>
  </si>
  <si>
    <t>DEPLC_GEN
_TA</t>
  </si>
  <si>
    <t>Menus déroulants</t>
  </si>
  <si>
    <t>Nom de l'AOT</t>
  </si>
  <si>
    <t>Pour l'instant, tout est fixe.</t>
  </si>
  <si>
    <t>Rimouski</t>
  </si>
  <si>
    <t>DEPLC_BASE_SANS_TA</t>
  </si>
  <si>
    <t>Données calculées pour combler ou modifier certaines données du tableau des AOT.</t>
  </si>
  <si>
    <t>DEPLC_TA
_BASE_CALC</t>
  </si>
  <si>
    <t>AJU_DEPLC
_BASE</t>
  </si>
  <si>
    <t>AJU_DEPLC
_TA_BASE</t>
  </si>
  <si>
    <t>Après 2006</t>
  </si>
  <si>
    <t>Données manquantes</t>
  </si>
  <si>
    <t>NOTE_AJUSTEMENT</t>
  </si>
  <si>
    <t>Après 2006; PAGTCP &amp; 90150=139184-49034 ?!?</t>
  </si>
  <si>
    <t>COUT_TONN
_TA</t>
  </si>
  <si>
    <t>COUT_TONN
_PL_KM</t>
  </si>
  <si>
    <t>DEPNS_ADMS
_TC</t>
  </si>
  <si>
    <t>DEPNS_ADMS
_TA</t>
  </si>
  <si>
    <t>Données calculées</t>
  </si>
  <si>
    <t>AMT + Presqu'ile</t>
  </si>
  <si>
    <t>V</t>
  </si>
  <si>
    <t>A</t>
  </si>
  <si>
    <t>CIBLE_GES
_PL_KM</t>
  </si>
  <si>
    <t>CIBLE_GES
_TA</t>
  </si>
  <si>
    <t>PAGTCP</t>
  </si>
  <si>
    <t>TAUX_ELC
_PL_KM</t>
  </si>
  <si>
    <t>TAUX_ELC
_TA</t>
  </si>
  <si>
    <t>PL_KM (M)
_TR_BASE</t>
  </si>
  <si>
    <t>DEPLC
_TR_BASE</t>
  </si>
  <si>
    <t>Données non utilisées</t>
  </si>
  <si>
    <t>PL_KM (M)
_TR</t>
  </si>
  <si>
    <t>DEPNS_ADMS
_TR</t>
  </si>
  <si>
    <t>Train</t>
  </si>
  <si>
    <t>DEPLC_GEN
_TR</t>
  </si>
  <si>
    <t>CIBLE_GES
_TR</t>
  </si>
  <si>
    <t>COUT_TONN
_TR</t>
  </si>
  <si>
    <t>*: obligatoire</t>
  </si>
  <si>
    <t>Nom de l’autorité organisatrice de transport :</t>
  </si>
  <si>
    <t>Veuillez indiquer le nom de l'autorité organisatrice de transport pour laquelle vous remplissez ce fichier.</t>
  </si>
  <si>
    <t>*Nombre de courses</t>
  </si>
  <si>
    <t>*Nombre de déplacements</t>
  </si>
  <si>
    <t>*Capacité du véhicule (assis + debout)</t>
  </si>
  <si>
    <t>PL_KM</t>
  </si>
  <si>
    <t>---</t>
  </si>
  <si>
    <t>Autre (précisez ici le type de voiture)</t>
  </si>
  <si>
    <t>MODLT ($)
_TC_2019</t>
  </si>
  <si>
    <t>MODLT ($)
_TA_2019</t>
  </si>
  <si>
    <t>MODLT ($)
_TR_2019</t>
  </si>
  <si>
    <r>
      <t xml:space="preserve">• L'onglet </t>
    </r>
    <r>
      <rPr>
        <i/>
        <sz val="12"/>
        <color theme="1"/>
        <rFont val="Calibri"/>
        <family val="2"/>
        <scheme val="minor"/>
      </rPr>
      <t>Résultats</t>
    </r>
    <r>
      <rPr>
        <sz val="12"/>
        <color theme="1"/>
        <rFont val="Calibri"/>
        <family val="2"/>
        <scheme val="minor"/>
      </rPr>
      <t xml:space="preserve"> présente, pour les années 2022 à 2024, la subvention pour les enveloppes maintien et développement ainsi que l'objectif de réduction des émissions de GES associé à ces enveloppes.</t>
    </r>
  </si>
  <si>
    <t>Dépenses liées à l'entretien des garages - Fournitures</t>
  </si>
  <si>
    <t>Dépenses liées à l'entretien des véhicules et du matériel roulant - Fournitures</t>
  </si>
  <si>
    <t xml:space="preserve">Contrats de services d'infonuagique et autres coûts informatiques récurrents </t>
  </si>
  <si>
    <t>Dépenses de formation des employés en prévision de l'électrification des autobus</t>
  </si>
  <si>
    <t>Sous-total</t>
  </si>
  <si>
    <t>Dépenses totales</t>
  </si>
  <si>
    <t>Autobus et métro</t>
  </si>
  <si>
    <r>
      <t xml:space="preserve">Dépenses liées à la possession des véhicules </t>
    </r>
    <r>
      <rPr>
        <i/>
        <sz val="9"/>
        <color theme="1"/>
        <rFont val="Calibri"/>
        <family val="2"/>
        <scheme val="minor"/>
      </rPr>
      <t>(immatriculation, assurance des véhicules)</t>
    </r>
  </si>
  <si>
    <r>
      <t xml:space="preserve">Dépenses liées aux garages - Autres </t>
    </r>
    <r>
      <rPr>
        <i/>
        <sz val="9"/>
        <color theme="1"/>
        <rFont val="Calibri"/>
        <family val="2"/>
        <scheme val="minor"/>
      </rPr>
      <t>(contrats, loyer, électricité, location d'équipement, assurance des garages, taxes municipales, etc.)</t>
    </r>
  </si>
  <si>
    <t>Dépenses liées à la conduite des véhicules - Traitements et avantages sociaux des chauffeurs, répartiteurs et inspecteurs</t>
  </si>
  <si>
    <r>
      <t xml:space="preserve">Dépenses liées à l'entretien des véhicules - Traitements et avantages sociaux des mécaniciens, carossiers et autres </t>
    </r>
    <r>
      <rPr>
        <i/>
        <sz val="9"/>
        <color theme="1"/>
        <rFont val="Calibri"/>
        <family val="2"/>
        <scheme val="minor"/>
      </rPr>
      <t>(incluant gestionnaires de premier niveau)</t>
    </r>
  </si>
  <si>
    <r>
      <t xml:space="preserve">Dépenses liées à l'entretien des garages - Traitements et avantages sociaux du personnel d'entretien des garages </t>
    </r>
    <r>
      <rPr>
        <i/>
        <sz val="9"/>
        <color theme="1"/>
        <rFont val="Calibri"/>
        <family val="2"/>
        <scheme val="minor"/>
      </rPr>
      <t>(incluant gestionnaires de premier niveau)</t>
    </r>
  </si>
  <si>
    <t>Frais de fonctionnement</t>
  </si>
  <si>
    <t>Contrats de service de transport - Autobus et minibus</t>
  </si>
  <si>
    <t>Contrats de service de transport - Taxibus</t>
  </si>
  <si>
    <t>*Dépenses admissibles</t>
  </si>
  <si>
    <t>*Dépenses non admissibles (toutes autres dépenses)</t>
  </si>
  <si>
    <t>Cible GES associé à l'enveloppe maintient</t>
  </si>
  <si>
    <t>Déclenchement de cette dernière?</t>
  </si>
  <si>
    <t>Montant prévu</t>
  </si>
  <si>
    <t>GES associé à l'enveloppement développement</t>
  </si>
  <si>
    <t>Selon vos prévisions</t>
  </si>
  <si>
    <t>Cible GES annuelle</t>
  </si>
  <si>
    <t>Une enveloppe développement est possible ces trois années</t>
  </si>
  <si>
    <t>Une enveloppe d'optimisation est possible pour ces trois années</t>
  </si>
  <si>
    <r>
      <rPr>
        <u/>
        <sz val="11"/>
        <color theme="1"/>
        <rFont val="Calibri"/>
        <family val="2"/>
        <scheme val="minor"/>
      </rPr>
      <t>PARTIE 1</t>
    </r>
    <r>
      <rPr>
        <sz val="11"/>
        <color theme="1"/>
        <rFont val="Calibri"/>
        <family val="2"/>
      </rPr>
      <t> </t>
    </r>
    <r>
      <rPr>
        <sz val="11"/>
        <color theme="1"/>
        <rFont val="Calibri"/>
        <family val="2"/>
        <scheme val="minor"/>
      </rPr>
      <t>: Définition des indicateurs de performance</t>
    </r>
  </si>
  <si>
    <r>
      <t>Nom de l’autorité organisatrice de transport</t>
    </r>
    <r>
      <rPr>
        <sz val="11"/>
        <color theme="1"/>
        <rFont val="Calibri"/>
        <family val="2"/>
      </rPr>
      <t> </t>
    </r>
    <r>
      <rPr>
        <sz val="11"/>
        <color theme="1"/>
        <rFont val="Calibri"/>
        <family val="2"/>
        <scheme val="minor"/>
      </rPr>
      <t>:</t>
    </r>
  </si>
  <si>
    <t>Efficacité socio-économique</t>
  </si>
  <si>
    <t>Achalandage annuel par personne</t>
  </si>
  <si>
    <t>Objectif</t>
  </si>
  <si>
    <t>Description</t>
  </si>
  <si>
    <t>Méthode de calcul</t>
  </si>
  <si>
    <t>Sources des données</t>
  </si>
  <si>
    <t>Vérification</t>
  </si>
  <si>
    <t>Population visée</t>
  </si>
  <si>
    <t>Fréquence de collecte de l’information</t>
  </si>
  <si>
    <t>Précision de l’information</t>
  </si>
  <si>
    <t>Autres remarques</t>
  </si>
  <si>
    <t>Efficience commerciale</t>
  </si>
  <si>
    <t>Ratio de recouvrement</t>
  </si>
  <si>
    <t>Valeurs prévues de l’indicateur</t>
  </si>
  <si>
    <t>Valeurs mesurées de l’indicateur</t>
  </si>
  <si>
    <r>
      <t>Date du dépôt du rapport</t>
    </r>
    <r>
      <rPr>
        <sz val="11"/>
        <color theme="1"/>
        <rFont val="Calibri"/>
        <family val="2"/>
      </rPr>
      <t> </t>
    </r>
    <r>
      <rPr>
        <sz val="11"/>
        <color theme="1"/>
        <rFont val="Calibri"/>
        <family val="2"/>
        <scheme val="minor"/>
      </rPr>
      <t xml:space="preserve">: </t>
    </r>
  </si>
  <si>
    <t>Plans triennaux d’amélioration et d'optimisation des services</t>
  </si>
  <si>
    <t>Nombre total d’heures¹</t>
  </si>
  <si>
    <t>Nombre total de kilomètres²</t>
  </si>
  <si>
    <t>*Nombre total de kilomètres²</t>
  </si>
  <si>
    <r>
      <rPr>
        <sz val="10"/>
        <color theme="1"/>
        <rFont val="Calibri"/>
        <family val="2"/>
      </rPr>
      <t>1 </t>
    </r>
    <r>
      <rPr>
        <sz val="10"/>
        <color theme="1"/>
        <rFont val="Calibri"/>
        <family val="2"/>
        <scheme val="minor"/>
      </rPr>
      <t xml:space="preserve">: Nombre total, </t>
    </r>
    <r>
      <rPr>
        <u/>
        <sz val="10"/>
        <color theme="1"/>
        <rFont val="Calibri"/>
        <family val="2"/>
        <scheme val="minor"/>
      </rPr>
      <t>y compris</t>
    </r>
    <r>
      <rPr>
        <sz val="10"/>
        <color theme="1"/>
        <rFont val="Calibri"/>
        <family val="2"/>
        <scheme val="minor"/>
      </rPr>
      <t xml:space="preserve"> les heures improductives.</t>
    </r>
  </si>
  <si>
    <r>
      <rPr>
        <sz val="10"/>
        <color theme="1"/>
        <rFont val="Calibri"/>
        <family val="2"/>
      </rPr>
      <t>2 </t>
    </r>
    <r>
      <rPr>
        <sz val="10"/>
        <color theme="1"/>
        <rFont val="Calibri"/>
        <family val="2"/>
        <scheme val="minor"/>
      </rPr>
      <t xml:space="preserve">: Nombre total, </t>
    </r>
    <r>
      <rPr>
        <u/>
        <sz val="10"/>
        <color theme="1"/>
        <rFont val="Calibri"/>
        <family val="2"/>
        <scheme val="minor"/>
      </rPr>
      <t>y compris</t>
    </r>
    <r>
      <rPr>
        <sz val="10"/>
        <color theme="1"/>
        <rFont val="Calibri"/>
        <family val="2"/>
        <scheme val="minor"/>
      </rPr>
      <t xml:space="preserve"> les km improductifs.</t>
    </r>
  </si>
  <si>
    <r>
      <t>1 </t>
    </r>
    <r>
      <rPr>
        <sz val="10"/>
        <color theme="1"/>
        <rFont val="Calibri"/>
        <family val="2"/>
        <scheme val="minor"/>
      </rPr>
      <t xml:space="preserve">: Nombre total, </t>
    </r>
    <r>
      <rPr>
        <u/>
        <sz val="10"/>
        <color theme="1"/>
        <rFont val="Calibri"/>
        <family val="2"/>
        <scheme val="minor"/>
      </rPr>
      <t>y compris</t>
    </r>
    <r>
      <rPr>
        <sz val="10"/>
        <color theme="1"/>
        <rFont val="Calibri"/>
        <family val="2"/>
        <scheme val="minor"/>
      </rPr>
      <t xml:space="preserve"> les heures improductives.</t>
    </r>
  </si>
  <si>
    <r>
      <t>2 </t>
    </r>
    <r>
      <rPr>
        <sz val="10"/>
        <color theme="1"/>
        <rFont val="Calibri"/>
        <family val="2"/>
        <scheme val="minor"/>
      </rPr>
      <t xml:space="preserve">: Nombre total, </t>
    </r>
    <r>
      <rPr>
        <u/>
        <sz val="10"/>
        <color theme="1"/>
        <rFont val="Calibri"/>
        <family val="2"/>
        <scheme val="minor"/>
      </rPr>
      <t>y compris</t>
    </r>
    <r>
      <rPr>
        <sz val="10"/>
        <color theme="1"/>
        <rFont val="Calibri"/>
        <family val="2"/>
        <scheme val="minor"/>
      </rPr>
      <t xml:space="preserve"> les km improductifs.</t>
    </r>
  </si>
  <si>
    <t>*MR63 - Nombre total de kilomètres¹</t>
  </si>
  <si>
    <t>*MR73 - Nombre total de kilomètres¹</t>
  </si>
  <si>
    <t>*MPM10 - Nombre total de kilomètres¹</t>
  </si>
  <si>
    <r>
      <rPr>
        <sz val="10"/>
        <color theme="1"/>
        <rFont val="Calibri"/>
        <family val="2"/>
      </rPr>
      <t>1 </t>
    </r>
    <r>
      <rPr>
        <sz val="10"/>
        <color theme="1"/>
        <rFont val="Calibri"/>
        <family val="2"/>
        <scheme val="minor"/>
      </rPr>
      <t xml:space="preserve">: Nombre total, </t>
    </r>
    <r>
      <rPr>
        <u/>
        <sz val="10"/>
        <color theme="1"/>
        <rFont val="Calibri"/>
        <family val="2"/>
        <scheme val="minor"/>
      </rPr>
      <t>y compris</t>
    </r>
    <r>
      <rPr>
        <sz val="10"/>
        <color theme="1"/>
        <rFont val="Calibri"/>
        <family val="2"/>
        <scheme val="minor"/>
      </rPr>
      <t xml:space="preserve"> les km improductifs.</t>
    </r>
  </si>
  <si>
    <t>TAUX_
OPTMS</t>
  </si>
  <si>
    <t>Montants autorisés</t>
  </si>
  <si>
    <t>Montants versés</t>
  </si>
  <si>
    <t>Boischatel</t>
  </si>
  <si>
    <t>Données en date du 5 août 2022. Mises à jour le 7 mars 2023.</t>
  </si>
  <si>
    <t>Subvention prévue pour l'optimisation, s'il y a lieu</t>
  </si>
  <si>
    <t>Subvention totale prévue</t>
  </si>
  <si>
    <t>Enveloppe maintient établi selon les modalités</t>
  </si>
  <si>
    <t>Montant total autorisé</t>
  </si>
  <si>
    <t>Subvention prévue pour le maintien</t>
  </si>
  <si>
    <t>Subvention prévue pour le développement</t>
  </si>
  <si>
    <t>DEVEL_$
_AN_PREC</t>
  </si>
  <si>
    <t>DEVEL_$
_AN_2021</t>
  </si>
  <si>
    <t>Subvention plafonnée</t>
  </si>
  <si>
    <t>Saint-Hyacinthe</t>
  </si>
  <si>
    <t>H4</t>
  </si>
  <si>
    <t>B4+C4</t>
  </si>
  <si>
    <t>B12</t>
  </si>
  <si>
    <t>ref F2</t>
  </si>
  <si>
    <t>C16</t>
  </si>
  <si>
    <t>ref F12</t>
  </si>
  <si>
    <t>ref F13</t>
  </si>
  <si>
    <t>ref F16-F18</t>
  </si>
  <si>
    <t>pas de 2021</t>
  </si>
  <si>
    <t>avec 2021</t>
  </si>
  <si>
    <t>Cout à tonne</t>
  </si>
  <si>
    <t>COUT_TONN
_PL_KM_NEW</t>
  </si>
  <si>
    <t>new formule</t>
  </si>
  <si>
    <r>
      <t xml:space="preserve">• L'offre de services de bus 100 % électrique ainsi que le nombre de déplacements et courses en taxibus 100 % électrique doivent être inscrits dans les onglets </t>
    </r>
    <r>
      <rPr>
        <i/>
        <sz val="12"/>
        <color theme="1"/>
        <rFont val="Calibri"/>
        <family val="2"/>
        <scheme val="minor"/>
      </rPr>
      <t>PTAS électrique - Régie</t>
    </r>
    <r>
      <rPr>
        <sz val="12"/>
        <color theme="1"/>
        <rFont val="Calibri"/>
        <family val="2"/>
        <scheme val="minor"/>
      </rPr>
      <t xml:space="preserve"> et </t>
    </r>
    <r>
      <rPr>
        <i/>
        <sz val="12"/>
        <color theme="1"/>
        <rFont val="Calibri"/>
        <family val="2"/>
        <scheme val="minor"/>
      </rPr>
      <t>PTAS électrique - Contrat.</t>
    </r>
  </si>
  <si>
    <r>
      <t xml:space="preserve">• Les bus et taxis hybrides n'étant pas des véhicules 100 % électriques, l'information doit être inscrite dans les onglets </t>
    </r>
    <r>
      <rPr>
        <i/>
        <sz val="12"/>
        <color theme="1"/>
        <rFont val="Calibri"/>
        <family val="2"/>
        <scheme val="minor"/>
      </rPr>
      <t>PTAS non-électrique - Régie</t>
    </r>
    <r>
      <rPr>
        <sz val="12"/>
        <color theme="1"/>
        <rFont val="Calibri"/>
        <family val="2"/>
        <scheme val="minor"/>
      </rPr>
      <t xml:space="preserve"> et </t>
    </r>
    <r>
      <rPr>
        <i/>
        <sz val="12"/>
        <color theme="1"/>
        <rFont val="Calibri"/>
        <family val="2"/>
        <scheme val="minor"/>
      </rPr>
      <t>PTAS non-électrique - Contrat.</t>
    </r>
  </si>
  <si>
    <r>
      <t xml:space="preserve">• L'offre de services autres que par bus 100 % électrique ainsi que le nombre de déplacements et courses autres qu'en taxibus 100 % électrique doivent être inscrits dans les onglets </t>
    </r>
    <r>
      <rPr>
        <i/>
        <sz val="12"/>
        <color theme="1"/>
        <rFont val="Calibri"/>
        <family val="2"/>
        <scheme val="minor"/>
      </rPr>
      <t>PTAS non-électrique - Régie</t>
    </r>
    <r>
      <rPr>
        <sz val="12"/>
        <color theme="1"/>
        <rFont val="Calibri"/>
        <family val="2"/>
        <scheme val="minor"/>
      </rPr>
      <t xml:space="preserve"> et </t>
    </r>
    <r>
      <rPr>
        <i/>
        <sz val="12"/>
        <color theme="1"/>
        <rFont val="Calibri"/>
        <family val="2"/>
        <scheme val="minor"/>
      </rPr>
      <t>PTAS non-électrique - Contrat.</t>
    </r>
  </si>
  <si>
    <r>
      <t xml:space="preserve">Données pour les services autres que bus et taxibus 100 % électrique fournis en </t>
    </r>
    <r>
      <rPr>
        <u/>
        <sz val="11"/>
        <color theme="1"/>
        <rFont val="Calibri"/>
        <family val="2"/>
        <scheme val="minor"/>
      </rPr>
      <t>régie</t>
    </r>
  </si>
  <si>
    <r>
      <t xml:space="preserve">Données pour les services de bus et taxibus 100 % électrique fournis en </t>
    </r>
    <r>
      <rPr>
        <u/>
        <sz val="11"/>
        <color theme="1"/>
        <rFont val="Calibri"/>
        <family val="2"/>
        <scheme val="minor"/>
      </rPr>
      <t>régie</t>
    </r>
  </si>
  <si>
    <r>
      <t xml:space="preserve">Données pour les services autres que bus et taxibus 100 % électrique fournis par </t>
    </r>
    <r>
      <rPr>
        <u/>
        <sz val="11"/>
        <color theme="1"/>
        <rFont val="Calibri"/>
        <family val="2"/>
        <scheme val="minor"/>
      </rPr>
      <t>contrat</t>
    </r>
  </si>
  <si>
    <r>
      <t xml:space="preserve">Données pour les services de bus et taxibus 100 % électrique fournis par </t>
    </r>
    <r>
      <rPr>
        <u/>
        <sz val="11"/>
        <color theme="1"/>
        <rFont val="Calibri"/>
        <family val="2"/>
        <scheme val="minor"/>
      </rPr>
      <t>contrat</t>
    </r>
  </si>
  <si>
    <t>Y a-t-il eu une extension de la ligne?</t>
  </si>
  <si>
    <r>
      <t xml:space="preserve">Dépenses liées aux déplacements des véhicules - Carburant et énergie: diésel, essence, électricité, etc. </t>
    </r>
    <r>
      <rPr>
        <i/>
        <sz val="9"/>
        <color theme="1"/>
        <rFont val="Calibri"/>
        <family val="2"/>
        <scheme val="minor"/>
      </rPr>
      <t>(coût moins remboursement de taxes)</t>
    </r>
  </si>
  <si>
    <r>
      <rPr>
        <u/>
        <sz val="11"/>
        <color theme="1"/>
        <rFont val="Calibri"/>
        <family val="2"/>
        <scheme val="minor"/>
      </rPr>
      <t xml:space="preserve">PARTIE 2 </t>
    </r>
    <r>
      <rPr>
        <sz val="11"/>
        <color theme="1"/>
        <rFont val="Calibri"/>
        <family val="2"/>
        <scheme val="minor"/>
      </rPr>
      <t>: Suivi des indicateurs de performance</t>
    </r>
  </si>
  <si>
    <t>Efficacité socio-économique : achalandage par personne</t>
  </si>
  <si>
    <t>Efficience commerciale : ratio de recouvrement</t>
  </si>
  <si>
    <t>• Le MTMD additionnera les résultats obtenus dans chacun des onglets pour déterminer l’offre totale.</t>
  </si>
  <si>
    <r>
      <t xml:space="preserve">• Les lignes de chaque onglet, comportant un astérisque, y compris l’onglet sur les dépenses admissibles, comportent des </t>
    </r>
    <r>
      <rPr>
        <u/>
        <sz val="12"/>
        <color theme="1"/>
        <rFont val="Calibri"/>
        <family val="2"/>
        <scheme val="minor"/>
      </rPr>
      <t>renseignements à inscrire obligatoirement</t>
    </r>
    <r>
      <rPr>
        <sz val="12"/>
        <color theme="1"/>
        <rFont val="Calibri"/>
        <family val="2"/>
        <scheme val="minor"/>
      </rPr>
      <t>. À défaut de disposer de ces informations, le MTMD ne pourra procéder au calcul de l'aide financière.</t>
    </r>
  </si>
  <si>
    <t>Les données saisies dans ce fichier serviront au calcul des aides financières annuelles pour les années 2022 à 2024. Elles couvrent les enveloppes Maintien, Développement et Optimisation. Elles serviront également à déterminer un coût par tonne de GES évitée.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</si>
</sst>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"/>
    <numFmt numFmtId="166" formatCode="#,##0\ &quot;$&quot;"/>
    <numFmt numFmtId="167" formatCode="#,##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2ECB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00">
    <xf numFmtId="0" fontId="0" fillId="0" borderId="0" xfId="0"/>
    <xf numFmtId="3" fontId="0" fillId="3" borderId="4" xfId="0" applyNumberFormat="1" applyFont="1" applyFill="1" applyBorder="1" applyAlignment="1" applyProtection="1">
      <alignment vertical="center"/>
      <protection locked="0"/>
    </xf>
    <xf numFmtId="3" fontId="0" fillId="3" borderId="5" xfId="0" applyNumberFormat="1" applyFont="1" applyFill="1" applyBorder="1" applyAlignment="1" applyProtection="1">
      <alignment vertical="center"/>
      <protection locked="0"/>
    </xf>
    <xf numFmtId="3" fontId="0" fillId="3" borderId="7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top"/>
    </xf>
    <xf numFmtId="0" fontId="0" fillId="0" borderId="18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3" fontId="0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</xf>
    <xf numFmtId="3" fontId="0" fillId="5" borderId="4" xfId="0" applyNumberFormat="1" applyFont="1" applyFill="1" applyBorder="1" applyAlignment="1" applyProtection="1">
      <alignment vertical="center"/>
    </xf>
    <xf numFmtId="3" fontId="0" fillId="5" borderId="5" xfId="0" applyNumberFormat="1" applyFont="1" applyFill="1" applyBorder="1" applyAlignment="1" applyProtection="1">
      <alignment vertical="center"/>
    </xf>
    <xf numFmtId="3" fontId="0" fillId="5" borderId="7" xfId="0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3" borderId="5" xfId="0" applyNumberFormat="1" applyFont="1" applyFill="1" applyBorder="1" applyAlignment="1" applyProtection="1">
      <alignment vertical="center"/>
      <protection locked="0"/>
    </xf>
    <xf numFmtId="0" fontId="0" fillId="6" borderId="16" xfId="0" applyFont="1" applyFill="1" applyBorder="1" applyAlignment="1" applyProtection="1">
      <alignment vertical="center"/>
    </xf>
    <xf numFmtId="0" fontId="0" fillId="6" borderId="19" xfId="0" applyFont="1" applyFill="1" applyBorder="1" applyAlignment="1" applyProtection="1">
      <alignment vertic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7" borderId="0" xfId="0" applyFill="1" applyAlignment="1">
      <alignment vertic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6" fillId="8" borderId="0" xfId="0" applyFont="1" applyFill="1" applyAlignment="1">
      <alignment vertical="center"/>
    </xf>
    <xf numFmtId="164" fontId="0" fillId="0" borderId="0" xfId="0" applyNumberFormat="1"/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6" fillId="6" borderId="0" xfId="0" applyFont="1" applyFill="1" applyAlignment="1">
      <alignment vertical="center"/>
    </xf>
    <xf numFmtId="0" fontId="0" fillId="9" borderId="0" xfId="0" applyFill="1"/>
    <xf numFmtId="0" fontId="0" fillId="10" borderId="0" xfId="0" applyFill="1"/>
    <xf numFmtId="0" fontId="0" fillId="10" borderId="0" xfId="0" applyFill="1" applyAlignment="1">
      <alignment horizontal="center"/>
    </xf>
    <xf numFmtId="0" fontId="6" fillId="10" borderId="0" xfId="0" applyFont="1" applyFill="1" applyAlignment="1">
      <alignment vertical="center"/>
    </xf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 wrapText="1"/>
    </xf>
    <xf numFmtId="0" fontId="0" fillId="11" borderId="0" xfId="0" applyFill="1"/>
    <xf numFmtId="3" fontId="0" fillId="9" borderId="0" xfId="0" applyNumberFormat="1" applyFill="1"/>
    <xf numFmtId="0" fontId="14" fillId="0" borderId="0" xfId="0" applyFont="1"/>
    <xf numFmtId="0" fontId="14" fillId="0" borderId="0" xfId="0" applyFont="1" applyAlignment="1">
      <alignment wrapText="1"/>
    </xf>
    <xf numFmtId="0" fontId="0" fillId="12" borderId="0" xfId="0" applyFill="1"/>
    <xf numFmtId="0" fontId="13" fillId="13" borderId="0" xfId="0" applyFont="1" applyFill="1"/>
    <xf numFmtId="0" fontId="0" fillId="14" borderId="0" xfId="0" applyFill="1"/>
    <xf numFmtId="0" fontId="0" fillId="4" borderId="0" xfId="0" applyFill="1"/>
    <xf numFmtId="0" fontId="0" fillId="15" borderId="0" xfId="0" applyFill="1"/>
    <xf numFmtId="3" fontId="15" fillId="0" borderId="0" xfId="0" applyNumberFormat="1" applyFont="1"/>
    <xf numFmtId="0" fontId="16" fillId="0" borderId="0" xfId="0" applyFont="1" applyAlignment="1">
      <alignment horizontal="center"/>
    </xf>
    <xf numFmtId="3" fontId="0" fillId="0" borderId="0" xfId="0" applyNumberFormat="1" applyFill="1"/>
    <xf numFmtId="0" fontId="0" fillId="0" borderId="10" xfId="0" applyFont="1" applyBorder="1" applyAlignment="1" applyProtection="1">
      <alignment horizontal="center"/>
    </xf>
    <xf numFmtId="0" fontId="0" fillId="0" borderId="13" xfId="0" applyFont="1" applyBorder="1" applyAlignment="1" applyProtection="1">
      <alignment horizontal="center" vertical="top"/>
    </xf>
    <xf numFmtId="165" fontId="0" fillId="0" borderId="0" xfId="0" applyNumberFormat="1"/>
    <xf numFmtId="4" fontId="0" fillId="0" borderId="0" xfId="0" applyNumberFormat="1" applyFill="1"/>
    <xf numFmtId="0" fontId="0" fillId="6" borderId="0" xfId="0" applyFill="1" applyAlignment="1">
      <alignment wrapText="1"/>
    </xf>
    <xf numFmtId="0" fontId="0" fillId="16" borderId="0" xfId="0" applyFill="1" applyAlignment="1">
      <alignment wrapText="1"/>
    </xf>
    <xf numFmtId="0" fontId="0" fillId="6" borderId="0" xfId="0" applyFill="1" applyAlignment="1">
      <alignment horizontal="center" wrapText="1"/>
    </xf>
    <xf numFmtId="0" fontId="0" fillId="16" borderId="0" xfId="0" applyFill="1" applyAlignment="1">
      <alignment horizontal="center" wrapText="1"/>
    </xf>
    <xf numFmtId="0" fontId="0" fillId="17" borderId="0" xfId="0" applyFill="1" applyAlignment="1">
      <alignment wrapText="1"/>
    </xf>
    <xf numFmtId="0" fontId="0" fillId="17" borderId="0" xfId="0" applyFill="1"/>
    <xf numFmtId="0" fontId="0" fillId="16" borderId="0" xfId="0" applyFill="1"/>
    <xf numFmtId="0" fontId="15" fillId="16" borderId="0" xfId="0" applyFont="1" applyFill="1" applyAlignment="1">
      <alignment wrapText="1"/>
    </xf>
    <xf numFmtId="0" fontId="0" fillId="0" borderId="1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 vertical="top"/>
    </xf>
    <xf numFmtId="0" fontId="3" fillId="0" borderId="0" xfId="0" applyFont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3" fontId="0" fillId="3" borderId="25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</xf>
    <xf numFmtId="0" fontId="0" fillId="0" borderId="0" xfId="0" quotePrefix="1" applyFont="1" applyAlignment="1" applyProtection="1">
      <alignment horizontal="center" vertical="center"/>
    </xf>
    <xf numFmtId="3" fontId="0" fillId="0" borderId="0" xfId="0" applyNumberFormat="1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0" fillId="0" borderId="26" xfId="0" applyFont="1" applyBorder="1" applyAlignment="1" applyProtection="1">
      <alignment vertical="center"/>
    </xf>
    <xf numFmtId="4" fontId="0" fillId="0" borderId="0" xfId="0" applyNumberFormat="1" applyFont="1" applyAlignment="1" applyProtection="1">
      <alignment vertical="center"/>
    </xf>
    <xf numFmtId="166" fontId="0" fillId="3" borderId="4" xfId="0" applyNumberFormat="1" applyFont="1" applyFill="1" applyBorder="1" applyAlignment="1" applyProtection="1">
      <alignment vertical="center"/>
      <protection locked="0"/>
    </xf>
    <xf numFmtId="0" fontId="0" fillId="0" borderId="29" xfId="0" applyFont="1" applyBorder="1" applyAlignment="1" applyProtection="1">
      <alignment vertical="center"/>
    </xf>
    <xf numFmtId="166" fontId="0" fillId="3" borderId="28" xfId="0" applyNumberFormat="1" applyFont="1" applyFill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center" vertical="center" wrapText="1"/>
    </xf>
    <xf numFmtId="166" fontId="0" fillId="3" borderId="18" xfId="0" applyNumberFormat="1" applyFont="1" applyFill="1" applyBorder="1" applyAlignment="1" applyProtection="1">
      <alignment vertical="center"/>
      <protection locked="0"/>
    </xf>
    <xf numFmtId="166" fontId="0" fillId="3" borderId="26" xfId="0" applyNumberFormat="1" applyFont="1" applyFill="1" applyBorder="1" applyAlignment="1" applyProtection="1">
      <alignment vertical="center"/>
      <protection locked="0"/>
    </xf>
    <xf numFmtId="0" fontId="0" fillId="0" borderId="27" xfId="0" applyFont="1" applyBorder="1" applyAlignment="1" applyProtection="1">
      <alignment horizontal="right" vertical="center"/>
    </xf>
    <xf numFmtId="0" fontId="0" fillId="0" borderId="15" xfId="0" applyFont="1" applyBorder="1" applyAlignment="1" applyProtection="1">
      <alignment vertical="center" wrapText="1"/>
    </xf>
    <xf numFmtId="0" fontId="0" fillId="0" borderId="27" xfId="0" applyFont="1" applyBorder="1" applyAlignment="1" applyProtection="1">
      <alignment vertical="center" wrapText="1"/>
    </xf>
    <xf numFmtId="0" fontId="0" fillId="4" borderId="9" xfId="0" applyFont="1" applyFill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166" fontId="0" fillId="4" borderId="6" xfId="0" applyNumberFormat="1" applyFont="1" applyFill="1" applyBorder="1" applyAlignment="1" applyProtection="1">
      <alignment vertical="center"/>
    </xf>
    <xf numFmtId="166" fontId="0" fillId="0" borderId="31" xfId="0" applyNumberFormat="1" applyFont="1" applyFill="1" applyBorder="1" applyAlignment="1" applyProtection="1">
      <alignment vertical="center"/>
    </xf>
    <xf numFmtId="166" fontId="0" fillId="3" borderId="6" xfId="0" applyNumberFormat="1" applyFont="1" applyFill="1" applyBorder="1" applyAlignment="1" applyProtection="1">
      <alignment vertical="center"/>
      <protection locked="0"/>
    </xf>
    <xf numFmtId="166" fontId="0" fillId="0" borderId="0" xfId="0" applyNumberFormat="1" applyFont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0" fillId="4" borderId="9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" xfId="0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 applyProtection="1">
      <alignment horizontal="center" vertical="center"/>
    </xf>
    <xf numFmtId="3" fontId="22" fillId="0" borderId="0" xfId="0" applyNumberFormat="1" applyFont="1"/>
    <xf numFmtId="0" fontId="22" fillId="0" borderId="0" xfId="0" applyFont="1" applyAlignment="1">
      <alignment vertical="center"/>
    </xf>
    <xf numFmtId="166" fontId="0" fillId="0" borderId="34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4" borderId="0" xfId="0" applyFill="1" applyAlignment="1">
      <alignment wrapText="1"/>
    </xf>
    <xf numFmtId="166" fontId="0" fillId="0" borderId="35" xfId="0" applyNumberFormat="1" applyBorder="1" applyAlignment="1">
      <alignment horizontal="center" vertical="center"/>
    </xf>
    <xf numFmtId="167" fontId="22" fillId="0" borderId="0" xfId="0" applyNumberFormat="1" applyFont="1" applyAlignment="1">
      <alignment horizontal="center" vertical="center"/>
    </xf>
    <xf numFmtId="3" fontId="0" fillId="0" borderId="31" xfId="0" applyNumberFormat="1" applyBorder="1" applyAlignment="1">
      <alignment vertical="center"/>
    </xf>
    <xf numFmtId="3" fontId="0" fillId="0" borderId="0" xfId="0" applyNumberFormat="1" applyAlignment="1">
      <alignment horizontal="center"/>
    </xf>
    <xf numFmtId="0" fontId="0" fillId="4" borderId="9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0" borderId="29" xfId="0" applyBorder="1" applyAlignment="1">
      <alignment vertical="center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 applyProtection="1">
      <alignment vertical="center" wrapText="1"/>
    </xf>
    <xf numFmtId="0" fontId="2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3" fillId="0" borderId="21" xfId="0" applyFont="1" applyFill="1" applyBorder="1" applyAlignment="1" applyProtection="1">
      <alignment horizontal="left" vertical="center"/>
      <protection hidden="1"/>
    </xf>
    <xf numFmtId="0" fontId="0" fillId="0" borderId="10" xfId="0" applyFont="1" applyBorder="1" applyAlignment="1" applyProtection="1">
      <alignment horizontal="center"/>
    </xf>
    <xf numFmtId="0" fontId="0" fillId="0" borderId="11" xfId="0" applyFont="1" applyBorder="1" applyAlignment="1" applyProtection="1">
      <alignment horizontal="center"/>
    </xf>
    <xf numFmtId="0" fontId="0" fillId="0" borderId="0" xfId="0" applyFont="1" applyAlignment="1" applyProtection="1">
      <alignment vertical="top" wrapText="1"/>
    </xf>
    <xf numFmtId="0" fontId="0" fillId="0" borderId="12" xfId="0" applyFont="1" applyBorder="1" applyAlignment="1" applyProtection="1">
      <alignment vertical="top" wrapText="1"/>
    </xf>
    <xf numFmtId="0" fontId="0" fillId="0" borderId="13" xfId="0" applyFont="1" applyBorder="1" applyAlignment="1" applyProtection="1">
      <alignment horizontal="center" vertical="top"/>
    </xf>
    <xf numFmtId="0" fontId="0" fillId="0" borderId="3" xfId="0" applyFont="1" applyBorder="1" applyAlignment="1" applyProtection="1">
      <alignment horizontal="center" vertical="top"/>
    </xf>
    <xf numFmtId="0" fontId="0" fillId="4" borderId="9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horizontal="left" vertical="center"/>
    </xf>
    <xf numFmtId="0" fontId="0" fillId="4" borderId="14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/>
    </xf>
    <xf numFmtId="0" fontId="6" fillId="0" borderId="12" xfId="0" applyFont="1" applyBorder="1" applyAlignment="1" applyProtection="1">
      <alignment horizontal="left"/>
    </xf>
    <xf numFmtId="0" fontId="0" fillId="0" borderId="21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0" fillId="4" borderId="8" xfId="0" applyFont="1" applyFill="1" applyBorder="1" applyAlignment="1" applyProtection="1">
      <alignment horizontal="center" vertical="center"/>
    </xf>
    <xf numFmtId="0" fontId="0" fillId="4" borderId="14" xfId="0" applyFont="1" applyFill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horizontal="left" vertical="center"/>
      <protection locked="0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</xf>
    <xf numFmtId="3" fontId="0" fillId="6" borderId="19" xfId="0" applyNumberFormat="1" applyFont="1" applyFill="1" applyBorder="1" applyAlignment="1" applyProtection="1">
      <alignment horizontal="center" vertical="center"/>
    </xf>
    <xf numFmtId="3" fontId="0" fillId="6" borderId="22" xfId="0" applyNumberFormat="1" applyFont="1" applyFill="1" applyBorder="1" applyAlignment="1" applyProtection="1">
      <alignment horizontal="center" vertical="center"/>
    </xf>
    <xf numFmtId="3" fontId="0" fillId="6" borderId="16" xfId="0" applyNumberFormat="1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3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2" borderId="19" xfId="0" applyFont="1" applyFill="1" applyBorder="1" applyAlignment="1" applyProtection="1">
      <alignment horizontal="left" vertical="top"/>
      <protection locked="0"/>
    </xf>
    <xf numFmtId="0" fontId="0" fillId="2" borderId="22" xfId="0" applyFont="1" applyFill="1" applyBorder="1" applyAlignment="1" applyProtection="1">
      <alignment horizontal="left" vertical="top"/>
      <protection locked="0"/>
    </xf>
    <xf numFmtId="0" fontId="0" fillId="2" borderId="16" xfId="0" applyFont="1" applyFill="1" applyBorder="1" applyAlignment="1" applyProtection="1">
      <alignment horizontal="left" vertical="top"/>
      <protection locked="0"/>
    </xf>
    <xf numFmtId="0" fontId="0" fillId="2" borderId="20" xfId="0" applyFont="1" applyFill="1" applyBorder="1" applyAlignment="1" applyProtection="1">
      <alignment horizontal="left" vertical="top"/>
      <protection locked="0"/>
    </xf>
    <xf numFmtId="0" fontId="0" fillId="2" borderId="33" xfId="0" applyFont="1" applyFill="1" applyBorder="1" applyAlignment="1" applyProtection="1">
      <alignment horizontal="left" vertical="top"/>
      <protection locked="0"/>
    </xf>
    <xf numFmtId="0" fontId="0" fillId="2" borderId="17" xfId="0" applyFont="1" applyFill="1" applyBorder="1" applyAlignment="1" applyProtection="1">
      <alignment horizontal="left" vertical="top"/>
      <protection locked="0"/>
    </xf>
    <xf numFmtId="0" fontId="0" fillId="2" borderId="19" xfId="0" applyFont="1" applyFill="1" applyBorder="1" applyAlignment="1" applyProtection="1">
      <alignment vertical="top" wrapText="1"/>
      <protection locked="0"/>
    </xf>
    <xf numFmtId="0" fontId="0" fillId="2" borderId="22" xfId="0" applyFont="1" applyFill="1" applyBorder="1" applyAlignment="1" applyProtection="1">
      <alignment vertical="top" wrapText="1"/>
      <protection locked="0"/>
    </xf>
    <xf numFmtId="0" fontId="0" fillId="2" borderId="16" xfId="0" applyFont="1" applyFill="1" applyBorder="1" applyAlignment="1" applyProtection="1">
      <alignment vertical="top" wrapText="1"/>
      <protection locked="0"/>
    </xf>
    <xf numFmtId="0" fontId="0" fillId="2" borderId="18" xfId="0" applyFont="1" applyFill="1" applyBorder="1" applyAlignment="1" applyProtection="1">
      <alignment horizontal="left" vertical="top"/>
      <protection locked="0"/>
    </xf>
    <xf numFmtId="0" fontId="0" fillId="2" borderId="32" xfId="0" applyFont="1" applyFill="1" applyBorder="1" applyAlignment="1" applyProtection="1">
      <alignment horizontal="left" vertical="top"/>
      <protection locked="0"/>
    </xf>
    <xf numFmtId="0" fontId="0" fillId="2" borderId="15" xfId="0" applyFont="1" applyFill="1" applyBorder="1" applyAlignment="1" applyProtection="1">
      <alignment horizontal="left" vertical="top"/>
      <protection locked="0"/>
    </xf>
    <xf numFmtId="0" fontId="0" fillId="4" borderId="9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 xr:uid="{00000000-0005-0000-0000-000001000000}"/>
  </cellStyles>
  <dxfs count="11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2ECB6"/>
      <color rgb="FFBEE39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0</xdr:colOff>
      <xdr:row>9</xdr:row>
      <xdr:rowOff>123826</xdr:rowOff>
    </xdr:from>
    <xdr:to>
      <xdr:col>13</xdr:col>
      <xdr:colOff>504825</xdr:colOff>
      <xdr:row>32</xdr:row>
      <xdr:rowOff>142875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498267D-62DA-4B89-A22F-47830904BEB6}"/>
            </a:ext>
          </a:extLst>
        </xdr:cNvPr>
        <xdr:cNvSpPr txBox="1"/>
      </xdr:nvSpPr>
      <xdr:spPr>
        <a:xfrm>
          <a:off x="8391525" y="1828801"/>
          <a:ext cx="2790825" cy="440054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CA" sz="1100" b="1" u="sng"/>
            <a:t>Définitions des différents champs à remplir</a:t>
          </a:r>
        </a:p>
        <a:p>
          <a:endParaRPr lang="fr-CA" sz="1100" b="1"/>
        </a:p>
        <a:p>
          <a:r>
            <a:rPr lang="fr-CA" sz="1100" b="1"/>
            <a:t>Méthode de calcul </a:t>
          </a:r>
          <a:r>
            <a:rPr lang="fr-CA" sz="1100"/>
            <a:t>: Décrire la méthode qui sera utilisée pour mesurer l</a:t>
          </a:r>
          <a:r>
            <a:rPr kumimoji="0" lang="fr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Calibri"/>
            </a:rPr>
            <a:t>’</a:t>
          </a:r>
          <a:r>
            <a:rPr lang="fr-CA" sz="1100"/>
            <a:t>indicateur.</a:t>
          </a:r>
        </a:p>
        <a:p>
          <a:endParaRPr lang="fr-CA" sz="1100"/>
        </a:p>
        <a:p>
          <a:r>
            <a:rPr lang="fr-CA" sz="1100" b="1"/>
            <a:t>Sources des données </a:t>
          </a:r>
          <a:r>
            <a:rPr lang="fr-CA" sz="1100"/>
            <a:t>: Décrire l</a:t>
          </a:r>
          <a:r>
            <a:rPr kumimoji="0" lang="fr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Calibri"/>
            </a:rPr>
            <a:t>’</a:t>
          </a:r>
          <a:r>
            <a:rPr lang="fr-CA" sz="1100"/>
            <a:t>ensemble des sources des données utilisées pour le calcul de l</a:t>
          </a:r>
          <a:r>
            <a:rPr kumimoji="0" lang="fr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Calibri"/>
            </a:rPr>
            <a:t>’</a:t>
          </a:r>
          <a:r>
            <a:rPr lang="fr-CA" sz="1100"/>
            <a:t>indicateur.</a:t>
          </a:r>
        </a:p>
        <a:p>
          <a:endParaRPr lang="fr-CA" sz="1100"/>
        </a:p>
        <a:p>
          <a:r>
            <a:rPr lang="fr-CA" sz="1100" b="1"/>
            <a:t>Vérification </a:t>
          </a:r>
          <a:r>
            <a:rPr lang="fr-CA" sz="1100"/>
            <a:t>: Décrire le moyen qui sera utilisé pour attester</a:t>
          </a:r>
          <a:r>
            <a:rPr lang="fr-CA" sz="1100" baseline="0"/>
            <a:t> </a:t>
          </a:r>
          <a:r>
            <a:rPr lang="fr-CA" sz="1100"/>
            <a:t>l</a:t>
          </a:r>
          <a:r>
            <a:rPr kumimoji="0" lang="fr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Calibri"/>
            </a:rPr>
            <a:t>’</a:t>
          </a:r>
          <a:r>
            <a:rPr lang="fr-CA" sz="1100"/>
            <a:t>amélioration de la performance.</a:t>
          </a:r>
        </a:p>
        <a:p>
          <a:endParaRPr lang="fr-CA" sz="1100"/>
        </a:p>
        <a:p>
          <a:r>
            <a:rPr lang="fr-CA" sz="1100" b="1"/>
            <a:t>Population visée </a:t>
          </a:r>
          <a:r>
            <a:rPr lang="fr-CA" sz="1100"/>
            <a:t>: Décrire la population visée par la méthode de collecte de l</a:t>
          </a:r>
          <a:r>
            <a:rPr kumimoji="0" lang="fr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Calibri"/>
            </a:rPr>
            <a:t>’</a:t>
          </a:r>
          <a:r>
            <a:rPr lang="fr-CA" sz="1100"/>
            <a:t>information.</a:t>
          </a:r>
        </a:p>
        <a:p>
          <a:endParaRPr lang="fr-CA" sz="1100"/>
        </a:p>
        <a:p>
          <a:r>
            <a:rPr lang="fr-CA" sz="1100" b="1"/>
            <a:t>Fréquence de collecte de l</a:t>
          </a:r>
          <a:r>
            <a:rPr kumimoji="0" lang="fr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Calibri"/>
            </a:rPr>
            <a:t>’</a:t>
          </a:r>
          <a:r>
            <a:rPr lang="fr-CA" sz="1100" b="1"/>
            <a:t>information </a:t>
          </a:r>
          <a:r>
            <a:rPr lang="fr-CA" sz="1100"/>
            <a:t>: Décrire la fréquence de collecte et les enjeux potentiels pour la reddition de comptes.</a:t>
          </a:r>
        </a:p>
        <a:p>
          <a:endParaRPr lang="fr-CA" sz="1100"/>
        </a:p>
        <a:p>
          <a:r>
            <a:rPr lang="fr-CA" sz="1100" b="1"/>
            <a:t>Précision de l</a:t>
          </a:r>
          <a:r>
            <a:rPr kumimoji="0" lang="fr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Calibri"/>
            </a:rPr>
            <a:t>’</a:t>
          </a:r>
          <a:r>
            <a:rPr lang="fr-CA" sz="1100" b="1"/>
            <a:t>information </a:t>
          </a:r>
          <a:r>
            <a:rPr lang="fr-CA" sz="1100"/>
            <a:t>: Décrire l</a:t>
          </a:r>
          <a:r>
            <a:rPr kumimoji="0" lang="fr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Calibri"/>
            </a:rPr>
            <a:t>’</a:t>
          </a:r>
          <a:r>
            <a:rPr lang="fr-CA" sz="1100"/>
            <a:t>ensemble des risques associés à la mesure.</a:t>
          </a:r>
        </a:p>
        <a:p>
          <a:endParaRPr lang="fr-CA" sz="1100"/>
        </a:p>
        <a:p>
          <a:r>
            <a:rPr lang="fr-CA" sz="1100" b="1"/>
            <a:t>Autres remarques </a:t>
          </a:r>
          <a:r>
            <a:rPr lang="fr-CA" sz="1100"/>
            <a:t>: Indiquer toute autre information pertinente.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A5A42-5A50-4209-AFD1-A47C007B95FD}">
  <sheetPr>
    <tabColor rgb="FFFF0000"/>
    <pageSetUpPr fitToPage="1"/>
  </sheetPr>
  <dimension ref="B1:G20"/>
  <sheetViews>
    <sheetView showGridLines="0" zoomScaleNormal="100" workbookViewId="0">
      <selection activeCell="D20" sqref="D20:G20"/>
    </sheetView>
  </sheetViews>
  <sheetFormatPr baseColWidth="10" defaultColWidth="11.44140625" defaultRowHeight="14.4" x14ac:dyDescent="0.3"/>
  <cols>
    <col min="1" max="2" width="1.6640625" style="23" customWidth="1"/>
    <col min="3" max="3" width="42.6640625" style="23" customWidth="1"/>
    <col min="4" max="7" width="16.6640625" style="23" customWidth="1"/>
    <col min="8" max="8" width="1.6640625" style="23" customWidth="1"/>
    <col min="9" max="16384" width="11.44140625" style="23"/>
  </cols>
  <sheetData>
    <row r="1" spans="2:7" s="126" customFormat="1" ht="18" x14ac:dyDescent="0.3">
      <c r="B1" s="145" t="s">
        <v>23</v>
      </c>
      <c r="C1" s="145"/>
      <c r="D1" s="145"/>
      <c r="E1" s="145"/>
      <c r="F1" s="145"/>
      <c r="G1" s="145"/>
    </row>
    <row r="2" spans="2:7" ht="15.6" x14ac:dyDescent="0.3">
      <c r="B2" s="146" t="s">
        <v>40</v>
      </c>
      <c r="C2" s="146"/>
      <c r="D2" s="146"/>
      <c r="E2" s="146"/>
      <c r="F2" s="146"/>
      <c r="G2" s="146"/>
    </row>
    <row r="3" spans="2:7" ht="8.25" customHeight="1" x14ac:dyDescent="0.3">
      <c r="B3" s="6"/>
      <c r="C3" s="6"/>
      <c r="D3" s="6"/>
      <c r="E3" s="6"/>
      <c r="F3" s="6"/>
      <c r="G3" s="6"/>
    </row>
    <row r="4" spans="2:7" ht="15.6" x14ac:dyDescent="0.3">
      <c r="B4" s="147" t="s">
        <v>274</v>
      </c>
      <c r="C4" s="147"/>
      <c r="D4" s="147"/>
      <c r="E4" s="147"/>
      <c r="F4" s="147"/>
      <c r="G4" s="147"/>
    </row>
    <row r="5" spans="2:7" ht="15.6" x14ac:dyDescent="0.3">
      <c r="B5" s="6"/>
      <c r="C5" s="6"/>
      <c r="D5" s="6"/>
      <c r="E5" s="6"/>
      <c r="F5" s="6"/>
      <c r="G5" s="6"/>
    </row>
    <row r="6" spans="2:7" ht="47.25" customHeight="1" x14ac:dyDescent="0.3">
      <c r="B6" s="6"/>
      <c r="C6" s="148" t="s">
        <v>328</v>
      </c>
      <c r="D6" s="148"/>
      <c r="E6" s="148"/>
      <c r="F6" s="148"/>
      <c r="G6" s="148"/>
    </row>
    <row r="7" spans="2:7" ht="15.6" x14ac:dyDescent="0.3">
      <c r="B7" s="6"/>
      <c r="C7" s="77"/>
      <c r="D7" s="77"/>
      <c r="E7" s="77"/>
      <c r="F7" s="77"/>
      <c r="G7" s="77"/>
    </row>
    <row r="8" spans="2:7" ht="31.5" customHeight="1" x14ac:dyDescent="0.3">
      <c r="B8" s="6"/>
      <c r="C8" s="143" t="s">
        <v>314</v>
      </c>
      <c r="D8" s="143"/>
      <c r="E8" s="143"/>
      <c r="F8" s="143"/>
      <c r="G8" s="143"/>
    </row>
    <row r="9" spans="2:7" ht="47.25" customHeight="1" x14ac:dyDescent="0.3">
      <c r="B9" s="6"/>
      <c r="C9" s="143" t="s">
        <v>316</v>
      </c>
      <c r="D9" s="143"/>
      <c r="E9" s="143"/>
      <c r="F9" s="143"/>
      <c r="G9" s="143"/>
    </row>
    <row r="10" spans="2:7" ht="31.5" customHeight="1" x14ac:dyDescent="0.3">
      <c r="B10" s="6"/>
      <c r="C10" s="143" t="s">
        <v>315</v>
      </c>
      <c r="D10" s="143"/>
      <c r="E10" s="143"/>
      <c r="F10" s="143"/>
      <c r="G10" s="143"/>
    </row>
    <row r="11" spans="2:7" ht="15.75" customHeight="1" x14ac:dyDescent="0.3">
      <c r="B11" s="6"/>
      <c r="C11" s="143" t="s">
        <v>326</v>
      </c>
      <c r="D11" s="143"/>
      <c r="E11" s="143"/>
      <c r="F11" s="143"/>
      <c r="G11" s="143"/>
    </row>
    <row r="12" spans="2:7" ht="15.6" x14ac:dyDescent="0.3">
      <c r="B12" s="6"/>
      <c r="C12" s="6"/>
      <c r="D12" s="6"/>
      <c r="E12" s="6"/>
      <c r="F12" s="6"/>
      <c r="G12" s="6"/>
    </row>
    <row r="13" spans="2:7" ht="47.25" customHeight="1" x14ac:dyDescent="0.3">
      <c r="B13" s="6"/>
      <c r="C13" s="143" t="s">
        <v>327</v>
      </c>
      <c r="D13" s="143"/>
      <c r="E13" s="143"/>
      <c r="F13" s="143"/>
      <c r="G13" s="143"/>
    </row>
    <row r="14" spans="2:7" ht="31.5" hidden="1" customHeight="1" x14ac:dyDescent="0.3">
      <c r="B14" s="6"/>
      <c r="C14" s="144" t="s">
        <v>230</v>
      </c>
      <c r="D14" s="144"/>
      <c r="E14" s="144"/>
      <c r="F14" s="144"/>
      <c r="G14" s="144"/>
    </row>
    <row r="15" spans="2:7" ht="15.6" x14ac:dyDescent="0.3">
      <c r="B15" s="6"/>
      <c r="C15" s="6"/>
      <c r="D15" s="6"/>
      <c r="E15" s="6"/>
      <c r="F15" s="6"/>
      <c r="G15" s="6"/>
    </row>
    <row r="16" spans="2:7" ht="15.6" x14ac:dyDescent="0.3">
      <c r="B16" s="6"/>
      <c r="C16" s="6"/>
      <c r="D16" s="6"/>
      <c r="E16" s="6"/>
      <c r="F16" s="6"/>
      <c r="G16" s="6"/>
    </row>
    <row r="17" spans="2:7" ht="15.6" x14ac:dyDescent="0.3">
      <c r="B17" s="6"/>
      <c r="C17" s="6"/>
      <c r="D17" s="6"/>
      <c r="E17" s="6"/>
      <c r="F17" s="6"/>
      <c r="G17" s="6"/>
    </row>
    <row r="18" spans="2:7" ht="15.6" x14ac:dyDescent="0.3">
      <c r="B18" s="6"/>
      <c r="C18" s="5" t="s">
        <v>220</v>
      </c>
      <c r="D18" s="6"/>
      <c r="E18" s="6"/>
      <c r="F18" s="6"/>
      <c r="G18" s="6"/>
    </row>
    <row r="19" spans="2:7" ht="15.6" x14ac:dyDescent="0.3">
      <c r="B19" s="6"/>
      <c r="C19" s="6"/>
      <c r="D19" s="6"/>
      <c r="E19" s="6"/>
      <c r="F19" s="6"/>
      <c r="G19" s="6"/>
    </row>
    <row r="20" spans="2:7" ht="15.6" x14ac:dyDescent="0.3">
      <c r="B20" s="6"/>
      <c r="C20" s="6" t="s">
        <v>219</v>
      </c>
      <c r="D20" s="142"/>
      <c r="E20" s="142"/>
      <c r="F20" s="142"/>
      <c r="G20" s="142"/>
    </row>
  </sheetData>
  <sheetProtection algorithmName="SHA-512" hashValue="jnuQyI/SSrGbKIe1kqJ/65Q5t2BqelfD/+RxACDkE0FzQ5OIfe6tVM5MFiZ57G74Wnvd/caiKfMi+L73UJxkyQ==" saltValue="j9VJeXkSceaAbNYWt2gIuw==" spinCount="100000" sheet="1" objects="1" scenarios="1" selectLockedCells="1"/>
  <mergeCells count="11">
    <mergeCell ref="D20:G20"/>
    <mergeCell ref="C13:G13"/>
    <mergeCell ref="C14:G14"/>
    <mergeCell ref="B1:G1"/>
    <mergeCell ref="B2:G2"/>
    <mergeCell ref="B4:G4"/>
    <mergeCell ref="C6:G6"/>
    <mergeCell ref="C8:G8"/>
    <mergeCell ref="C9:G9"/>
    <mergeCell ref="C10:G10"/>
    <mergeCell ref="C11:G11"/>
  </mergeCells>
  <printOptions horizontalCentered="1"/>
  <pageMargins left="0.19685039370078741" right="0.19685039370078741" top="0.31496062992125984" bottom="0.31496062992125984" header="0.31496062992125984" footer="0.23622047244094491"/>
  <pageSetup scale="91" orientation="portrait" blackAndWhite="1" r:id="rId1"/>
  <headerFooter>
    <oddHeader>&amp;L&amp;G</oddHeader>
    <oddFooter>&amp;LMinistère des Transports, de la Mobilité durable et de l'Électrification des transports (2018-05)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élection erronée" error="Veuillez sélectionner un nom inclut dans la liste." promptTitle="AOT" prompt="Veuillez indiquer le nom de l'autorité organisatrice de transport pour laquelle vouez remplissez le fichier." xr:uid="{B5DF8E8B-2614-44C1-B0F9-D00B7DDAACE3}">
          <x14:formula1>
            <xm:f>ref_data!$C$3:$C$34</xm:f>
          </x14:formula1>
          <xm:sqref>D20:G20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2747D-A1A1-4705-AF5E-AB19E55DD4A3}">
  <sheetPr>
    <tabColor theme="6" tint="0.39997558519241921"/>
    <pageSetUpPr fitToPage="1"/>
  </sheetPr>
  <dimension ref="B1:L30"/>
  <sheetViews>
    <sheetView showGridLines="0" zoomScale="90" zoomScaleNormal="90" workbookViewId="0">
      <selection activeCell="D14" sqref="D14:G14"/>
    </sheetView>
  </sheetViews>
  <sheetFormatPr baseColWidth="10" defaultColWidth="11.44140625" defaultRowHeight="14.4" x14ac:dyDescent="0.3"/>
  <cols>
    <col min="1" max="2" width="1.6640625" style="23" customWidth="1"/>
    <col min="3" max="3" width="50.6640625" style="23" customWidth="1"/>
    <col min="4" max="7" width="14.6640625" style="23" customWidth="1"/>
    <col min="8" max="8" width="1.6640625" style="23" customWidth="1"/>
    <col min="9" max="16384" width="11.44140625" style="23"/>
  </cols>
  <sheetData>
    <row r="1" spans="2:12" s="126" customFormat="1" ht="18" x14ac:dyDescent="0.3">
      <c r="B1" s="145" t="s">
        <v>23</v>
      </c>
      <c r="C1" s="145"/>
      <c r="D1" s="145"/>
      <c r="E1" s="145"/>
      <c r="F1" s="145"/>
      <c r="G1" s="145"/>
    </row>
    <row r="2" spans="2:12" ht="15.6" x14ac:dyDescent="0.3">
      <c r="B2" s="146" t="s">
        <v>40</v>
      </c>
      <c r="C2" s="146"/>
      <c r="D2" s="146"/>
      <c r="E2" s="146"/>
      <c r="F2" s="146"/>
      <c r="G2" s="146"/>
    </row>
    <row r="3" spans="2:12" ht="8.25" customHeight="1" x14ac:dyDescent="0.3">
      <c r="B3" s="6"/>
      <c r="C3" s="6"/>
      <c r="D3" s="6"/>
      <c r="E3" s="6"/>
      <c r="F3" s="6"/>
      <c r="G3" s="6"/>
    </row>
    <row r="4" spans="2:12" ht="15.6" x14ac:dyDescent="0.3">
      <c r="B4" s="147" t="s">
        <v>274</v>
      </c>
      <c r="C4" s="147"/>
      <c r="D4" s="147"/>
      <c r="E4" s="147"/>
      <c r="F4" s="147"/>
      <c r="G4" s="147"/>
    </row>
    <row r="5" spans="2:12" ht="15.6" x14ac:dyDescent="0.3">
      <c r="B5" s="6"/>
      <c r="C5" s="6"/>
      <c r="D5" s="6"/>
      <c r="E5" s="6"/>
      <c r="F5" s="6"/>
      <c r="G5" s="6"/>
    </row>
    <row r="6" spans="2:12" ht="15.6" x14ac:dyDescent="0.3">
      <c r="B6" s="6" t="s">
        <v>41</v>
      </c>
      <c r="C6" s="6"/>
      <c r="D6" s="149" t="str">
        <f>ref_var!$F$28</f>
        <v>Veuillez consulter l'onglet Instructions.</v>
      </c>
      <c r="E6" s="149"/>
      <c r="F6" s="149"/>
      <c r="G6" s="149"/>
      <c r="H6" s="78"/>
      <c r="I6" s="78"/>
      <c r="J6" s="78"/>
      <c r="K6" s="78"/>
      <c r="L6" s="78"/>
    </row>
    <row r="7" spans="2:12" x14ac:dyDescent="0.3">
      <c r="H7" s="79"/>
      <c r="I7" s="79"/>
      <c r="J7" s="79"/>
      <c r="K7" s="79"/>
      <c r="L7" s="79"/>
    </row>
    <row r="8" spans="2:12" ht="30" customHeight="1" x14ac:dyDescent="0.3">
      <c r="B8" s="7"/>
      <c r="C8" s="7"/>
      <c r="D8" s="104"/>
      <c r="E8" s="63">
        <f>ref_ges!A5</f>
        <v>2022</v>
      </c>
      <c r="F8" s="63">
        <f>ref_ges!A6</f>
        <v>2023</v>
      </c>
      <c r="G8" s="75">
        <f>ref_ges!A7</f>
        <v>2024</v>
      </c>
    </row>
    <row r="9" spans="2:12" x14ac:dyDescent="0.3">
      <c r="B9" s="159"/>
      <c r="C9" s="159"/>
      <c r="D9" s="105"/>
      <c r="E9" s="64" t="s">
        <v>8</v>
      </c>
      <c r="F9" s="64" t="s">
        <v>8</v>
      </c>
      <c r="G9" s="76" t="s">
        <v>8</v>
      </c>
    </row>
    <row r="10" spans="2:12" ht="27.6" x14ac:dyDescent="0.3">
      <c r="B10" s="161"/>
      <c r="C10" s="161"/>
      <c r="D10" s="106"/>
      <c r="E10" s="19" t="s">
        <v>9</v>
      </c>
      <c r="F10" s="19" t="s">
        <v>9</v>
      </c>
      <c r="G10" s="19" t="s">
        <v>9</v>
      </c>
    </row>
    <row r="11" spans="2:12" x14ac:dyDescent="0.3">
      <c r="B11" s="156" t="s">
        <v>287</v>
      </c>
      <c r="C11" s="157"/>
      <c r="D11" s="157"/>
      <c r="E11" s="157"/>
      <c r="F11" s="157"/>
      <c r="G11" s="158"/>
    </row>
    <row r="12" spans="2:12" x14ac:dyDescent="0.3">
      <c r="B12" s="45" t="s">
        <v>293</v>
      </c>
      <c r="C12" s="45"/>
      <c r="E12" s="103" t="e">
        <f>ref_ges!G12+ref_ges!H12+ref_ges!O12</f>
        <v>#N/A</v>
      </c>
      <c r="F12" s="103" t="e">
        <f>IF(E15="Non",E12,E12+E16)</f>
        <v>#N/A</v>
      </c>
      <c r="G12" s="103" t="e">
        <f>IF(F15="Non",F12,F12+F16)</f>
        <v>#N/A</v>
      </c>
    </row>
    <row r="13" spans="2:12" x14ac:dyDescent="0.3">
      <c r="B13" s="130" t="s">
        <v>248</v>
      </c>
      <c r="C13" s="130"/>
      <c r="E13" s="135" t="e">
        <f>ref_ges!O4+ref_ges!P4+ref_ges!V4</f>
        <v>#N/A</v>
      </c>
      <c r="F13" s="135" t="e">
        <f>IF(E15="Non",E13,E13+E17)</f>
        <v>#N/A</v>
      </c>
      <c r="G13" s="135" t="e">
        <f>IF(F15="Non",F13,F13+F17)</f>
        <v>#N/A</v>
      </c>
    </row>
    <row r="14" spans="2:12" x14ac:dyDescent="0.3">
      <c r="B14" s="45" t="s">
        <v>254</v>
      </c>
      <c r="C14" s="45"/>
      <c r="E14" s="83"/>
      <c r="F14" s="83"/>
      <c r="G14" s="83"/>
    </row>
    <row r="15" spans="2:12" x14ac:dyDescent="0.3">
      <c r="B15" s="45"/>
      <c r="C15" s="45" t="s">
        <v>249</v>
      </c>
      <c r="E15" s="83" t="e">
        <f>IF(E24&gt;E13,"Oui","Non")</f>
        <v>#N/A</v>
      </c>
      <c r="F15" s="83" t="e">
        <f>IF(F24&gt;E24,IF(F24&gt;E13,"Oui","Non"),"Non")</f>
        <v>#N/A</v>
      </c>
      <c r="G15" s="83" t="e">
        <f>IF(G24&gt;F24,IF(G24&gt;E13,"Oui","Non"),"Non")</f>
        <v>#N/A</v>
      </c>
    </row>
    <row r="16" spans="2:12" x14ac:dyDescent="0.3">
      <c r="B16" s="45"/>
      <c r="C16" s="45" t="s">
        <v>250</v>
      </c>
      <c r="E16" s="103" t="e">
        <f>IF(E15="Non",0,ref_ges!X5)</f>
        <v>#N/A</v>
      </c>
      <c r="F16" s="103" t="e">
        <f>IF(F15="Non",0,IF(E24&gt;E13,ref_ges!X6,ref_ges!Y6))</f>
        <v>#N/A</v>
      </c>
      <c r="G16" s="103" t="e">
        <f>IF(G15="Non",0,IF(F24&gt;E13,ref_ges!X7,ref_ges!Y7))</f>
        <v>#N/A</v>
      </c>
    </row>
    <row r="17" spans="2:7" x14ac:dyDescent="0.3">
      <c r="B17" s="45"/>
      <c r="C17" s="130" t="s">
        <v>251</v>
      </c>
      <c r="E17" s="135" t="e">
        <f>IF(E15="Non","--",E24-E13)</f>
        <v>#N/A</v>
      </c>
      <c r="F17" s="135" t="e">
        <f>IF(F15="Non","--",IF(E24&gt;E13,F24-E24,F24-E13))</f>
        <v>#N/A</v>
      </c>
      <c r="G17" s="135" t="e">
        <f>IF(G15="Non","--",IF(F24&gt;E13,G24-F24,G24-E13))</f>
        <v>#N/A</v>
      </c>
    </row>
    <row r="18" spans="2:7" x14ac:dyDescent="0.3">
      <c r="B18" s="45" t="s">
        <v>255</v>
      </c>
      <c r="C18" s="45"/>
      <c r="E18" s="83"/>
      <c r="F18" s="83"/>
      <c r="G18" s="83"/>
    </row>
    <row r="19" spans="2:7" x14ac:dyDescent="0.3">
      <c r="B19" s="45"/>
      <c r="C19" s="45" t="s">
        <v>250</v>
      </c>
      <c r="E19" s="103" t="e">
        <f>MIN(E12*ref_ges!$L$12,(IF(PTOS!D37&gt;0,MAX(PTOS!E36/PTOS!D37-1,0),0)+IF(PTOS!D41&gt;0,MAX(PTOS!E40/PTOS!D41-1,0),0))*2*E12)</f>
        <v>#N/A</v>
      </c>
      <c r="F19" s="103" t="e">
        <f>MIN(F12*ref_ges!$L$12,(IF(PTOS!E37&gt;0,MAX(PTOS!F36/PTOS!E37-1,0),0)+IF(PTOS!E41&gt;0,MAX(PTOS!F40/PTOS!E41-1,0),0))*2*F12)</f>
        <v>#N/A</v>
      </c>
      <c r="G19" s="103" t="e">
        <f>MIN(G12*ref_ges!$L$12,(IF(PTOS!F37&gt;0,MAX(PTOS!G36/PTOS!F37-1,0),0)+IF(PTOS!F41&gt;0,MAX(PTOS!G40/PTOS!F41-1,0),0))*2*G12)</f>
        <v>#N/A</v>
      </c>
    </row>
    <row r="20" spans="2:7" ht="15" thickBot="1" x14ac:dyDescent="0.35">
      <c r="B20" s="45"/>
      <c r="C20" s="45"/>
      <c r="E20" s="103"/>
      <c r="F20" s="103"/>
      <c r="G20" s="103"/>
    </row>
    <row r="21" spans="2:7" ht="15" thickTop="1" x14ac:dyDescent="0.3">
      <c r="B21" s="45"/>
      <c r="C21" s="45" t="s">
        <v>294</v>
      </c>
      <c r="E21" s="131" t="e">
        <f>E12+E16+E19</f>
        <v>#N/A</v>
      </c>
      <c r="F21" s="131" t="e">
        <f t="shared" ref="F21:G21" si="0">F12+F16+F19</f>
        <v>#N/A</v>
      </c>
      <c r="G21" s="131" t="e">
        <f t="shared" si="0"/>
        <v>#N/A</v>
      </c>
    </row>
    <row r="22" spans="2:7" x14ac:dyDescent="0.3">
      <c r="B22" s="156" t="s">
        <v>288</v>
      </c>
      <c r="C22" s="157"/>
      <c r="D22" s="157"/>
      <c r="E22" s="157"/>
      <c r="F22" s="157"/>
      <c r="G22" s="158"/>
    </row>
    <row r="23" spans="2:7" x14ac:dyDescent="0.3">
      <c r="B23" s="45" t="s">
        <v>252</v>
      </c>
      <c r="C23" s="45"/>
      <c r="E23" s="83"/>
      <c r="F23" s="83"/>
      <c r="G23" s="83"/>
    </row>
    <row r="24" spans="2:7" x14ac:dyDescent="0.3">
      <c r="B24" s="45"/>
      <c r="C24" s="130" t="s">
        <v>253</v>
      </c>
      <c r="E24" s="135" t="e">
        <f>ref_ges!O5+ref_ges!P5+ref_ges!V5</f>
        <v>#N/A</v>
      </c>
      <c r="F24" s="135" t="e">
        <f>ref_ges!O6+ref_ges!P6+ref_ges!V6</f>
        <v>#N/A</v>
      </c>
      <c r="G24" s="135" t="e">
        <f>ref_ges!O7+ref_ges!P7+ref_ges!V7</f>
        <v>#N/A</v>
      </c>
    </row>
    <row r="25" spans="2:7" x14ac:dyDescent="0.3">
      <c r="B25" s="45"/>
      <c r="C25" s="45" t="s">
        <v>295</v>
      </c>
      <c r="E25" s="103" t="e">
        <f>E12</f>
        <v>#N/A</v>
      </c>
      <c r="F25" s="103" t="e">
        <f>E25+E26</f>
        <v>#N/A</v>
      </c>
      <c r="G25" s="103" t="e">
        <f>F25+F26</f>
        <v>#N/A</v>
      </c>
    </row>
    <row r="26" spans="2:7" x14ac:dyDescent="0.3">
      <c r="B26" s="45"/>
      <c r="C26" s="45" t="s">
        <v>296</v>
      </c>
      <c r="E26" s="103" t="e">
        <f>ref_ges!X5</f>
        <v>#N/A</v>
      </c>
      <c r="F26" s="103" t="e">
        <f>ref_ges!X6</f>
        <v>#N/A</v>
      </c>
      <c r="G26" s="103" t="e">
        <f>ref_ges!X7</f>
        <v>#N/A</v>
      </c>
    </row>
    <row r="27" spans="2:7" x14ac:dyDescent="0.3">
      <c r="B27" s="45"/>
      <c r="C27" s="45" t="s">
        <v>291</v>
      </c>
      <c r="E27" s="132" t="e">
        <f>E19</f>
        <v>#N/A</v>
      </c>
      <c r="F27" s="132" t="e">
        <f t="shared" ref="F27:G27" si="1">F19</f>
        <v>#N/A</v>
      </c>
      <c r="G27" s="132" t="e">
        <f t="shared" si="1"/>
        <v>#N/A</v>
      </c>
    </row>
    <row r="28" spans="2:7" ht="15" thickBot="1" x14ac:dyDescent="0.35">
      <c r="B28" s="45"/>
      <c r="C28" s="45"/>
      <c r="E28" s="45"/>
      <c r="F28" s="45"/>
      <c r="G28" s="45"/>
    </row>
    <row r="29" spans="2:7" ht="15" thickTop="1" x14ac:dyDescent="0.3">
      <c r="B29" s="45"/>
      <c r="C29" s="45" t="s">
        <v>292</v>
      </c>
      <c r="E29" s="131" t="e">
        <f>E25+E26+E27</f>
        <v>#N/A</v>
      </c>
      <c r="F29" s="131" t="e">
        <f t="shared" ref="F29:G29" si="2">F25+F26+F27</f>
        <v>#N/A</v>
      </c>
      <c r="G29" s="131" t="e">
        <f t="shared" si="2"/>
        <v>#N/A</v>
      </c>
    </row>
    <row r="30" spans="2:7" x14ac:dyDescent="0.3">
      <c r="C30" s="23" t="s">
        <v>299</v>
      </c>
      <c r="E30" s="134" t="e">
        <f>IF(E29&gt;E21,E21,E29)</f>
        <v>#N/A</v>
      </c>
      <c r="F30" s="134" t="e">
        <f t="shared" ref="F30:G30" si="3">IF(F29&gt;F21,F21,F29)</f>
        <v>#N/A</v>
      </c>
      <c r="G30" s="134" t="e">
        <f t="shared" si="3"/>
        <v>#N/A</v>
      </c>
    </row>
  </sheetData>
  <sheetProtection selectLockedCells="1"/>
  <mergeCells count="8">
    <mergeCell ref="B22:G22"/>
    <mergeCell ref="B10:C10"/>
    <mergeCell ref="B11:G11"/>
    <mergeCell ref="B9:C9"/>
    <mergeCell ref="B1:G1"/>
    <mergeCell ref="B2:G2"/>
    <mergeCell ref="B4:G4"/>
    <mergeCell ref="D6:G6"/>
  </mergeCells>
  <conditionalFormatting sqref="D6 H6:L6">
    <cfRule type="cellIs" dxfId="2" priority="1" operator="equal">
      <formula>"Veuillez consulter l'onglet Instructions."</formula>
    </cfRule>
  </conditionalFormatting>
  <printOptions horizontalCentered="1"/>
  <pageMargins left="0.19685039370078741" right="0.19685039370078741" top="0.31496062992125984" bottom="0.31496062992125984" header="0.31496062992125984" footer="0.23622047244094491"/>
  <pageSetup scale="91" orientation="portrait" blackAndWhite="1" r:id="rId1"/>
  <headerFooter>
    <oddHeader>&amp;L&amp;G</oddHeader>
    <oddFooter>&amp;LMinistère des Transports, de la Mobilité durable et de l'Électrification des transports (2018-05)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3C0FD-A27F-41F2-A431-97A54625E1E4}">
  <dimension ref="A1:G29"/>
  <sheetViews>
    <sheetView workbookViewId="0">
      <pane ySplit="1" topLeftCell="A2" activePane="bottomLeft" state="frozen"/>
      <selection activeCell="D14" sqref="D14:G14"/>
      <selection pane="bottomLeft" activeCell="F28" sqref="F28"/>
    </sheetView>
  </sheetViews>
  <sheetFormatPr baseColWidth="10" defaultRowHeight="14.4" x14ac:dyDescent="0.3"/>
  <cols>
    <col min="1" max="1" width="36" bestFit="1" customWidth="1"/>
    <col min="2" max="2" width="11" style="35" customWidth="1"/>
    <col min="3" max="3" width="70.33203125" style="45" bestFit="1" customWidth="1"/>
    <col min="5" max="5" width="28" bestFit="1" customWidth="1"/>
    <col min="7" max="7" width="75.44140625" bestFit="1" customWidth="1"/>
  </cols>
  <sheetData>
    <row r="1" spans="1:7" x14ac:dyDescent="0.3">
      <c r="A1" s="27" t="s">
        <v>43</v>
      </c>
      <c r="B1" s="28" t="s">
        <v>44</v>
      </c>
      <c r="C1" s="29" t="s">
        <v>45</v>
      </c>
      <c r="E1" s="27" t="s">
        <v>46</v>
      </c>
      <c r="F1" s="27" t="s">
        <v>47</v>
      </c>
      <c r="G1" s="29" t="s">
        <v>45</v>
      </c>
    </row>
    <row r="2" spans="1:7" x14ac:dyDescent="0.3">
      <c r="A2" s="30" t="s">
        <v>3</v>
      </c>
      <c r="B2" s="31">
        <v>35</v>
      </c>
      <c r="C2" s="32"/>
      <c r="E2" t="s">
        <v>48</v>
      </c>
      <c r="F2" s="33">
        <v>0.5</v>
      </c>
      <c r="G2" s="34"/>
    </row>
    <row r="3" spans="1:7" x14ac:dyDescent="0.3">
      <c r="A3" s="30" t="s">
        <v>5</v>
      </c>
      <c r="B3" s="31">
        <v>65</v>
      </c>
      <c r="C3" s="32" t="s">
        <v>49</v>
      </c>
      <c r="E3" t="s">
        <v>50</v>
      </c>
      <c r="F3" s="33">
        <f>63.2/(63.2+13.3)</f>
        <v>0.82614379084967327</v>
      </c>
      <c r="G3" s="34" t="s">
        <v>51</v>
      </c>
    </row>
    <row r="4" spans="1:7" x14ac:dyDescent="0.3">
      <c r="A4" s="30" t="s">
        <v>10</v>
      </c>
      <c r="B4" s="31">
        <v>104</v>
      </c>
      <c r="C4" s="32" t="s">
        <v>49</v>
      </c>
      <c r="E4" t="s">
        <v>52</v>
      </c>
      <c r="F4" s="33">
        <v>11.08</v>
      </c>
      <c r="G4" s="34"/>
    </row>
    <row r="5" spans="1:7" x14ac:dyDescent="0.3">
      <c r="A5" s="30" t="s">
        <v>4</v>
      </c>
      <c r="B5" s="31">
        <v>45</v>
      </c>
      <c r="C5" s="32"/>
      <c r="E5" t="s">
        <v>53</v>
      </c>
      <c r="F5" s="33">
        <v>1.252</v>
      </c>
      <c r="G5" s="34"/>
    </row>
    <row r="6" spans="1:7" x14ac:dyDescent="0.3">
      <c r="A6" s="30" t="s">
        <v>6</v>
      </c>
      <c r="B6" s="31">
        <v>46</v>
      </c>
      <c r="C6" s="32"/>
      <c r="E6" t="s">
        <v>54</v>
      </c>
      <c r="F6" s="33">
        <f>0.03*1000000/79.44</f>
        <v>377.64350453172204</v>
      </c>
      <c r="G6" s="34" t="s">
        <v>55</v>
      </c>
    </row>
    <row r="7" spans="1:7" x14ac:dyDescent="0.3">
      <c r="A7" t="s">
        <v>56</v>
      </c>
      <c r="B7" s="35">
        <v>143</v>
      </c>
      <c r="C7" s="36" t="s">
        <v>57</v>
      </c>
      <c r="E7" t="s">
        <v>58</v>
      </c>
      <c r="F7" s="33">
        <f>0.1018*1000000/79.44</f>
        <v>1281.4702920443101</v>
      </c>
      <c r="G7" s="34" t="s">
        <v>59</v>
      </c>
    </row>
    <row r="8" spans="1:7" x14ac:dyDescent="0.3">
      <c r="A8" t="s">
        <v>60</v>
      </c>
      <c r="B8" s="35">
        <v>45</v>
      </c>
      <c r="C8" s="36"/>
      <c r="E8" t="s">
        <v>61</v>
      </c>
      <c r="F8" s="33">
        <f>F6/2326</f>
        <v>0.16235748260177216</v>
      </c>
      <c r="G8" s="34"/>
    </row>
    <row r="9" spans="1:7" x14ac:dyDescent="0.3">
      <c r="A9" t="s">
        <v>62</v>
      </c>
      <c r="B9" s="35">
        <v>45</v>
      </c>
      <c r="C9" s="36"/>
      <c r="E9" t="s">
        <v>63</v>
      </c>
      <c r="F9" s="33">
        <f>F7/2738</f>
        <v>0.46803151645153768</v>
      </c>
      <c r="G9" s="34"/>
    </row>
    <row r="10" spans="1:7" x14ac:dyDescent="0.3">
      <c r="A10" t="s">
        <v>64</v>
      </c>
      <c r="B10" s="35">
        <v>260</v>
      </c>
      <c r="C10" s="36" t="s">
        <v>65</v>
      </c>
      <c r="E10" t="s">
        <v>66</v>
      </c>
      <c r="F10" s="33">
        <f>0.024*1000000/79.44</f>
        <v>302.11480362537765</v>
      </c>
      <c r="G10" s="34" t="s">
        <v>67</v>
      </c>
    </row>
    <row r="11" spans="1:7" x14ac:dyDescent="0.3">
      <c r="A11" t="s">
        <v>68</v>
      </c>
      <c r="B11" s="35">
        <v>600</v>
      </c>
      <c r="C11" s="36"/>
      <c r="E11" t="s">
        <v>69</v>
      </c>
      <c r="F11" s="33">
        <f>0.006*1000000/79.44</f>
        <v>75.528700906344412</v>
      </c>
      <c r="G11" s="34" t="s">
        <v>70</v>
      </c>
    </row>
    <row r="12" spans="1:7" x14ac:dyDescent="0.3">
      <c r="A12" t="s">
        <v>71</v>
      </c>
      <c r="B12" s="35">
        <v>110</v>
      </c>
      <c r="C12" s="36" t="s">
        <v>72</v>
      </c>
      <c r="E12" t="s">
        <v>73</v>
      </c>
      <c r="F12" s="33">
        <v>0.80175555555555555</v>
      </c>
      <c r="G12" s="34" t="s">
        <v>74</v>
      </c>
    </row>
    <row r="13" spans="1:7" x14ac:dyDescent="0.3">
      <c r="A13" t="s">
        <v>75</v>
      </c>
      <c r="B13" s="35">
        <v>119</v>
      </c>
      <c r="C13" s="36" t="s">
        <v>76</v>
      </c>
      <c r="E13" t="s">
        <v>77</v>
      </c>
      <c r="F13" s="33">
        <v>11.3</v>
      </c>
      <c r="G13" s="34" t="s">
        <v>78</v>
      </c>
    </row>
    <row r="14" spans="1:7" x14ac:dyDescent="0.3">
      <c r="A14" s="37" t="s">
        <v>79</v>
      </c>
      <c r="B14" s="38">
        <v>1434</v>
      </c>
      <c r="C14" s="39" t="s">
        <v>80</v>
      </c>
    </row>
    <row r="15" spans="1:7" x14ac:dyDescent="0.3">
      <c r="A15" s="37" t="s">
        <v>27</v>
      </c>
      <c r="B15" s="38">
        <v>758</v>
      </c>
      <c r="C15" s="39" t="s">
        <v>80</v>
      </c>
      <c r="E15" s="40" t="s">
        <v>81</v>
      </c>
      <c r="F15" s="40"/>
      <c r="G15" s="40"/>
    </row>
    <row r="16" spans="1:7" x14ac:dyDescent="0.3">
      <c r="A16" s="37" t="s">
        <v>28</v>
      </c>
      <c r="B16" s="38">
        <v>1499</v>
      </c>
      <c r="C16" s="39" t="s">
        <v>80</v>
      </c>
      <c r="E16" t="s">
        <v>82</v>
      </c>
      <c r="F16" s="33">
        <v>145.23444913458403</v>
      </c>
      <c r="G16" s="34" t="s">
        <v>83</v>
      </c>
    </row>
    <row r="17" spans="1:7" x14ac:dyDescent="0.3">
      <c r="A17" s="37" t="s">
        <v>29</v>
      </c>
      <c r="B17" s="38">
        <v>1007</v>
      </c>
      <c r="C17" s="39" t="s">
        <v>80</v>
      </c>
      <c r="E17" t="s">
        <v>84</v>
      </c>
      <c r="F17" s="33">
        <v>62.495130859708262</v>
      </c>
      <c r="G17" s="34" t="s">
        <v>83</v>
      </c>
    </row>
    <row r="18" spans="1:7" x14ac:dyDescent="0.3">
      <c r="A18" s="37" t="s">
        <v>30</v>
      </c>
      <c r="B18" s="38">
        <v>1356</v>
      </c>
      <c r="C18" s="39" t="s">
        <v>80</v>
      </c>
      <c r="E18" t="s">
        <v>85</v>
      </c>
      <c r="F18" s="33">
        <v>34.042578512464182</v>
      </c>
      <c r="G18" s="34" t="s">
        <v>83</v>
      </c>
    </row>
    <row r="19" spans="1:7" x14ac:dyDescent="0.3">
      <c r="A19" s="37" t="s">
        <v>31</v>
      </c>
      <c r="B19" s="38">
        <v>1441</v>
      </c>
      <c r="C19" s="39" t="s">
        <v>80</v>
      </c>
    </row>
    <row r="20" spans="1:7" x14ac:dyDescent="0.3">
      <c r="A20" s="41" t="s">
        <v>86</v>
      </c>
      <c r="B20" s="42">
        <v>118</v>
      </c>
      <c r="C20" s="43" t="s">
        <v>87</v>
      </c>
      <c r="E20" s="44" t="s">
        <v>88</v>
      </c>
      <c r="F20" s="44"/>
      <c r="G20" s="44"/>
    </row>
    <row r="21" spans="1:7" x14ac:dyDescent="0.3">
      <c r="A21" s="41" t="s">
        <v>89</v>
      </c>
      <c r="B21" s="42">
        <v>154</v>
      </c>
      <c r="C21" s="43" t="s">
        <v>87</v>
      </c>
      <c r="E21" t="s">
        <v>90</v>
      </c>
      <c r="F21" s="33">
        <v>32.654614005810004</v>
      </c>
      <c r="G21" s="34" t="s">
        <v>91</v>
      </c>
    </row>
    <row r="22" spans="1:7" x14ac:dyDescent="0.3">
      <c r="A22" s="41" t="s">
        <v>92</v>
      </c>
      <c r="B22" s="42">
        <v>142</v>
      </c>
      <c r="C22" s="43" t="s">
        <v>87</v>
      </c>
      <c r="E22" t="s">
        <v>0</v>
      </c>
      <c r="F22" s="33">
        <v>32.119512195121949</v>
      </c>
      <c r="G22" s="34" t="s">
        <v>91</v>
      </c>
    </row>
    <row r="23" spans="1:7" x14ac:dyDescent="0.3">
      <c r="A23" s="41" t="s">
        <v>93</v>
      </c>
      <c r="B23" s="42">
        <v>148</v>
      </c>
      <c r="C23" s="43" t="s">
        <v>94</v>
      </c>
      <c r="E23" t="s">
        <v>95</v>
      </c>
      <c r="F23" s="33">
        <f>F22/F4</f>
        <v>2.8988729417980097</v>
      </c>
      <c r="G23" s="34" t="s">
        <v>96</v>
      </c>
    </row>
    <row r="24" spans="1:7" x14ac:dyDescent="0.3">
      <c r="E24" t="s">
        <v>97</v>
      </c>
      <c r="F24" s="33">
        <f>5416/1867</f>
        <v>2.9009105516871987</v>
      </c>
      <c r="G24" s="34" t="s">
        <v>98</v>
      </c>
    </row>
    <row r="26" spans="1:7" x14ac:dyDescent="0.3">
      <c r="E26" s="51" t="s">
        <v>183</v>
      </c>
      <c r="F26" s="51"/>
      <c r="G26" s="51"/>
    </row>
    <row r="27" spans="1:7" x14ac:dyDescent="0.3">
      <c r="E27" t="s">
        <v>99</v>
      </c>
      <c r="F27">
        <v>2021</v>
      </c>
      <c r="G27" s="34" t="s">
        <v>185</v>
      </c>
    </row>
    <row r="28" spans="1:7" x14ac:dyDescent="0.3">
      <c r="D28" s="45"/>
      <c r="E28" t="s">
        <v>184</v>
      </c>
      <c r="F28" t="str">
        <f>IF(Instructions!$D$20=0,"Veuillez consulter l'onglet Instructions.",Instructions!$D$20)</f>
        <v>Veuillez consulter l'onglet Instructions.</v>
      </c>
      <c r="G28" s="34"/>
    </row>
    <row r="29" spans="1:7" x14ac:dyDescent="0.3">
      <c r="C29" s="46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87EE0-A8CF-46FF-B61D-DD18E63424CC}">
  <dimension ref="A1:T53"/>
  <sheetViews>
    <sheetView workbookViewId="0">
      <pane xSplit="4" ySplit="2" topLeftCell="E9" activePane="bottomRight" state="frozen"/>
      <selection activeCell="D14" sqref="D14:G14"/>
      <selection pane="topRight" activeCell="D14" sqref="D14:G14"/>
      <selection pane="bottomLeft" activeCell="D14" sqref="D14:G14"/>
      <selection pane="bottomRight" activeCell="D14" sqref="D14:G14"/>
    </sheetView>
  </sheetViews>
  <sheetFormatPr baseColWidth="10" defaultRowHeight="14.4" x14ac:dyDescent="0.3"/>
  <cols>
    <col min="1" max="1" width="2.6640625" style="61" bestFit="1" customWidth="1"/>
    <col min="2" max="2" width="2.6640625" style="61" customWidth="1"/>
    <col min="3" max="3" width="41" customWidth="1"/>
    <col min="4" max="4" width="7.44140625" bestFit="1" customWidth="1"/>
    <col min="5" max="5" width="7.109375" style="35" bestFit="1" customWidth="1"/>
    <col min="6" max="6" width="11.44140625" bestFit="1" customWidth="1"/>
    <col min="7" max="7" width="10.88671875" bestFit="1" customWidth="1"/>
    <col min="8" max="8" width="7.109375" style="35" bestFit="1" customWidth="1"/>
    <col min="9" max="9" width="10.33203125" bestFit="1" customWidth="1"/>
    <col min="10" max="10" width="9.6640625" bestFit="1" customWidth="1"/>
    <col min="11" max="12" width="10.44140625" customWidth="1"/>
    <col min="13" max="13" width="9.88671875" bestFit="1" customWidth="1"/>
    <col min="14" max="14" width="10.6640625" bestFit="1" customWidth="1"/>
    <col min="15" max="15" width="11.109375" customWidth="1"/>
    <col min="16" max="16" width="7.33203125" bestFit="1" customWidth="1"/>
    <col min="17" max="17" width="42.5546875" style="53" bestFit="1" customWidth="1"/>
    <col min="18" max="18" width="10.44140625" bestFit="1" customWidth="1"/>
    <col min="19" max="19" width="9.88671875" bestFit="1" customWidth="1"/>
    <col min="20" max="20" width="10.33203125" customWidth="1"/>
  </cols>
  <sheetData>
    <row r="1" spans="1:20" x14ac:dyDescent="0.3">
      <c r="C1" t="s">
        <v>114</v>
      </c>
    </row>
    <row r="2" spans="1:20" ht="28.8" x14ac:dyDescent="0.3">
      <c r="A2" s="61" t="s">
        <v>202</v>
      </c>
      <c r="B2" s="61" t="s">
        <v>203</v>
      </c>
      <c r="C2" t="s">
        <v>106</v>
      </c>
      <c r="D2" t="s">
        <v>107</v>
      </c>
      <c r="E2" s="50" t="s">
        <v>108</v>
      </c>
      <c r="F2" s="47" t="s">
        <v>177</v>
      </c>
      <c r="G2" s="47" t="s">
        <v>109</v>
      </c>
      <c r="H2" s="50" t="s">
        <v>110</v>
      </c>
      <c r="I2" s="47" t="s">
        <v>111</v>
      </c>
      <c r="J2" s="47" t="s">
        <v>112</v>
      </c>
      <c r="K2" s="47" t="s">
        <v>227</v>
      </c>
      <c r="L2" s="47" t="s">
        <v>228</v>
      </c>
      <c r="M2" s="47" t="s">
        <v>113</v>
      </c>
      <c r="N2" s="47" t="s">
        <v>190</v>
      </c>
      <c r="O2" s="47" t="s">
        <v>191</v>
      </c>
      <c r="P2" s="47" t="s">
        <v>286</v>
      </c>
      <c r="Q2" s="54" t="s">
        <v>194</v>
      </c>
      <c r="R2" s="47" t="s">
        <v>209</v>
      </c>
      <c r="S2" s="47" t="s">
        <v>210</v>
      </c>
      <c r="T2" s="47" t="s">
        <v>229</v>
      </c>
    </row>
    <row r="3" spans="1:20" x14ac:dyDescent="0.3">
      <c r="A3" s="61">
        <v>1</v>
      </c>
      <c r="B3" s="61">
        <v>2</v>
      </c>
      <c r="C3" t="s">
        <v>115</v>
      </c>
      <c r="D3" t="s">
        <v>115</v>
      </c>
      <c r="E3" s="35">
        <v>2006</v>
      </c>
      <c r="F3" s="66">
        <v>1159.3696717667349</v>
      </c>
      <c r="G3" s="62">
        <v>17154752</v>
      </c>
      <c r="H3" s="35">
        <v>2006</v>
      </c>
      <c r="I3" s="62">
        <v>43177</v>
      </c>
      <c r="J3" s="52"/>
      <c r="K3" s="129">
        <v>46760353</v>
      </c>
      <c r="L3" s="129">
        <v>1539400</v>
      </c>
      <c r="M3" s="62">
        <v>8784765</v>
      </c>
      <c r="N3" s="49">
        <v>9191809</v>
      </c>
      <c r="O3" s="49"/>
      <c r="P3" s="48">
        <v>0.05</v>
      </c>
      <c r="Q3" s="53" t="s">
        <v>201</v>
      </c>
      <c r="R3" s="48">
        <v>991.30373800000007</v>
      </c>
      <c r="S3" s="49">
        <v>15046000</v>
      </c>
      <c r="T3" s="49">
        <v>25174657</v>
      </c>
    </row>
    <row r="4" spans="1:20" x14ac:dyDescent="0.3">
      <c r="A4" s="61">
        <v>2</v>
      </c>
      <c r="B4" s="61">
        <v>5</v>
      </c>
      <c r="C4" t="s">
        <v>116</v>
      </c>
      <c r="D4" t="s">
        <v>117</v>
      </c>
      <c r="E4" s="35">
        <v>2006</v>
      </c>
      <c r="F4" s="48">
        <v>11631.499735000001</v>
      </c>
      <c r="G4" s="49">
        <v>363349389</v>
      </c>
      <c r="H4" s="35">
        <v>2006</v>
      </c>
      <c r="I4" s="49">
        <v>18212</v>
      </c>
      <c r="J4" s="52"/>
      <c r="K4" s="129">
        <v>55977377</v>
      </c>
      <c r="L4" s="49">
        <v>571783</v>
      </c>
      <c r="M4" s="49"/>
      <c r="N4" s="49"/>
      <c r="O4" s="49"/>
      <c r="P4" s="48">
        <v>0.05</v>
      </c>
    </row>
    <row r="5" spans="1:20" x14ac:dyDescent="0.3">
      <c r="A5" s="61">
        <v>3</v>
      </c>
      <c r="B5" s="61">
        <v>6</v>
      </c>
      <c r="C5" t="s">
        <v>118</v>
      </c>
      <c r="D5" t="s">
        <v>119</v>
      </c>
      <c r="E5" s="35">
        <v>2006</v>
      </c>
      <c r="F5" s="48">
        <v>1533.946518</v>
      </c>
      <c r="G5" s="49">
        <v>40005998</v>
      </c>
      <c r="H5" s="35">
        <v>2006</v>
      </c>
      <c r="I5" s="49">
        <v>13613</v>
      </c>
      <c r="J5" s="52"/>
      <c r="K5" s="49">
        <v>13635668</v>
      </c>
      <c r="L5" s="49">
        <v>-40422</v>
      </c>
      <c r="M5" s="49"/>
      <c r="N5" s="49"/>
      <c r="O5" s="49"/>
      <c r="P5" s="48">
        <v>0.1</v>
      </c>
    </row>
    <row r="6" spans="1:20" x14ac:dyDescent="0.3">
      <c r="A6" s="61">
        <v>4</v>
      </c>
      <c r="B6" s="61">
        <v>7</v>
      </c>
      <c r="C6" t="s">
        <v>120</v>
      </c>
      <c r="D6" t="s">
        <v>121</v>
      </c>
      <c r="E6" s="35">
        <v>2006</v>
      </c>
      <c r="F6" s="48">
        <v>1204.6614793581184</v>
      </c>
      <c r="G6" s="49">
        <v>31461652</v>
      </c>
      <c r="I6" s="49"/>
      <c r="J6" s="49"/>
      <c r="K6" s="129">
        <v>8916327</v>
      </c>
      <c r="L6" s="129">
        <v>204095</v>
      </c>
      <c r="M6" s="49"/>
      <c r="N6" s="49"/>
      <c r="O6" s="49"/>
      <c r="P6" s="48">
        <v>0.05</v>
      </c>
    </row>
    <row r="7" spans="1:20" x14ac:dyDescent="0.3">
      <c r="A7" s="61">
        <v>5</v>
      </c>
      <c r="B7" s="61">
        <v>8</v>
      </c>
      <c r="C7" t="s">
        <v>122</v>
      </c>
      <c r="D7" t="s">
        <v>123</v>
      </c>
      <c r="E7" s="35">
        <v>2006</v>
      </c>
      <c r="F7" s="48">
        <v>794.89039500000001</v>
      </c>
      <c r="G7" s="49">
        <v>20124264</v>
      </c>
      <c r="I7" s="49"/>
      <c r="J7" s="49"/>
      <c r="K7" s="49">
        <v>12491700</v>
      </c>
      <c r="L7" s="49">
        <v>0</v>
      </c>
      <c r="M7" s="49"/>
      <c r="N7" s="49"/>
      <c r="O7" s="49"/>
      <c r="P7" s="48">
        <v>0.05</v>
      </c>
    </row>
    <row r="8" spans="1:20" x14ac:dyDescent="0.3">
      <c r="A8" s="61">
        <v>6</v>
      </c>
      <c r="B8" s="61">
        <v>9</v>
      </c>
      <c r="C8" t="s">
        <v>124</v>
      </c>
      <c r="D8" t="s">
        <v>125</v>
      </c>
      <c r="E8" s="35">
        <v>2006</v>
      </c>
      <c r="F8" s="48">
        <v>740.61136499999998</v>
      </c>
      <c r="G8" s="49">
        <v>16515432</v>
      </c>
      <c r="I8" s="49"/>
      <c r="J8" s="49"/>
      <c r="K8" s="49">
        <v>12898807</v>
      </c>
      <c r="L8" s="49">
        <v>0</v>
      </c>
      <c r="M8" s="49"/>
      <c r="N8" s="49"/>
      <c r="O8" s="49"/>
      <c r="P8" s="48">
        <v>0.1</v>
      </c>
    </row>
    <row r="9" spans="1:20" x14ac:dyDescent="0.3">
      <c r="A9" s="61">
        <v>7</v>
      </c>
      <c r="B9" s="61">
        <v>10</v>
      </c>
      <c r="C9" t="s">
        <v>126</v>
      </c>
      <c r="D9" t="s">
        <v>127</v>
      </c>
      <c r="E9" s="35">
        <v>2006</v>
      </c>
      <c r="F9" s="48">
        <v>278.63935500000002</v>
      </c>
      <c r="G9" s="49">
        <v>6925075</v>
      </c>
      <c r="H9" s="35">
        <v>2006</v>
      </c>
      <c r="I9" s="49">
        <v>13026</v>
      </c>
      <c r="J9" s="52"/>
      <c r="K9" s="49">
        <v>2185480</v>
      </c>
      <c r="L9" s="49">
        <v>-52757</v>
      </c>
      <c r="M9" s="49">
        <v>12177</v>
      </c>
      <c r="N9" s="49">
        <v>12177</v>
      </c>
      <c r="O9" s="49"/>
      <c r="P9" s="48">
        <v>0.1</v>
      </c>
      <c r="Q9" s="53" t="s">
        <v>206</v>
      </c>
    </row>
    <row r="10" spans="1:20" x14ac:dyDescent="0.3">
      <c r="A10" s="61">
        <v>8</v>
      </c>
      <c r="B10" s="61">
        <v>11</v>
      </c>
      <c r="C10" t="s">
        <v>128</v>
      </c>
      <c r="D10" t="s">
        <v>129</v>
      </c>
      <c r="E10" s="35">
        <v>2020</v>
      </c>
      <c r="F10" s="48">
        <f>(14558*ref_var!B2+600013*ref_var!B8+3510927*ref_var!B3)/1000000</f>
        <v>255.72037</v>
      </c>
      <c r="G10" s="136">
        <v>2488708</v>
      </c>
      <c r="I10" s="49"/>
      <c r="J10" s="49"/>
      <c r="K10" s="49">
        <v>765678.96499999997</v>
      </c>
      <c r="L10" s="49">
        <v>0</v>
      </c>
      <c r="M10" s="49"/>
      <c r="N10" s="49"/>
      <c r="O10" s="49"/>
      <c r="P10" s="48">
        <v>0.1</v>
      </c>
    </row>
    <row r="11" spans="1:20" x14ac:dyDescent="0.3">
      <c r="A11" s="61">
        <v>9</v>
      </c>
      <c r="B11" s="61">
        <v>12</v>
      </c>
      <c r="C11" t="s">
        <v>130</v>
      </c>
      <c r="D11" t="s">
        <v>131</v>
      </c>
      <c r="E11" s="35">
        <v>2006</v>
      </c>
      <c r="F11" s="48">
        <v>224.54496489797205</v>
      </c>
      <c r="G11" s="49">
        <v>3510840</v>
      </c>
      <c r="H11" s="35">
        <v>2006</v>
      </c>
      <c r="I11" s="49">
        <v>7223</v>
      </c>
      <c r="J11" s="52"/>
      <c r="K11" s="49">
        <v>2713560</v>
      </c>
      <c r="L11" s="49">
        <v>17569</v>
      </c>
      <c r="M11" s="49">
        <v>341308</v>
      </c>
      <c r="N11" s="49">
        <v>341308</v>
      </c>
      <c r="O11" s="49"/>
      <c r="P11" s="48">
        <v>0.1</v>
      </c>
    </row>
    <row r="12" spans="1:20" x14ac:dyDescent="0.3">
      <c r="A12" s="61">
        <v>10</v>
      </c>
      <c r="B12" s="61">
        <v>13</v>
      </c>
      <c r="C12" t="s">
        <v>132</v>
      </c>
      <c r="D12" t="s">
        <v>133</v>
      </c>
      <c r="E12" s="35">
        <v>2006</v>
      </c>
      <c r="F12" s="48">
        <v>172.33606</v>
      </c>
      <c r="G12" s="49">
        <v>3204471</v>
      </c>
      <c r="H12" s="35">
        <v>2006</v>
      </c>
      <c r="I12" s="49">
        <v>1544</v>
      </c>
      <c r="J12" s="52"/>
      <c r="K12" s="129">
        <v>593558</v>
      </c>
      <c r="L12" s="49">
        <v>19508</v>
      </c>
      <c r="M12" s="49"/>
      <c r="N12" s="49"/>
      <c r="O12" s="49"/>
      <c r="P12" s="48">
        <v>0.1</v>
      </c>
    </row>
    <row r="13" spans="1:20" x14ac:dyDescent="0.3">
      <c r="A13" s="61">
        <v>11</v>
      </c>
      <c r="B13" s="61">
        <v>42</v>
      </c>
      <c r="C13" t="s">
        <v>134</v>
      </c>
      <c r="F13" s="48"/>
      <c r="G13" s="49"/>
      <c r="H13" s="35">
        <v>2018</v>
      </c>
      <c r="I13" s="49">
        <v>22847</v>
      </c>
      <c r="J13" s="49">
        <v>61602</v>
      </c>
      <c r="K13" s="49">
        <v>0</v>
      </c>
      <c r="L13" s="49">
        <v>137347</v>
      </c>
      <c r="M13" s="49"/>
      <c r="N13" s="49"/>
      <c r="O13" s="49">
        <v>61602</v>
      </c>
      <c r="P13" s="48">
        <v>0.2</v>
      </c>
      <c r="Q13" s="53" t="s">
        <v>192</v>
      </c>
    </row>
    <row r="14" spans="1:20" x14ac:dyDescent="0.3">
      <c r="A14" s="61">
        <v>12</v>
      </c>
      <c r="B14" s="61">
        <v>24</v>
      </c>
      <c r="C14" t="s">
        <v>135</v>
      </c>
      <c r="E14" s="35">
        <v>2006</v>
      </c>
      <c r="F14" s="48">
        <v>11.952078545336548</v>
      </c>
      <c r="G14" s="49">
        <v>82282</v>
      </c>
      <c r="I14" s="49"/>
      <c r="J14" s="49"/>
      <c r="K14" s="49">
        <v>116059.69500000001</v>
      </c>
      <c r="L14" s="49">
        <v>0</v>
      </c>
      <c r="M14" s="49">
        <v>70819</v>
      </c>
      <c r="N14" s="49">
        <v>70819</v>
      </c>
      <c r="O14" s="49"/>
      <c r="P14" s="48">
        <v>0.2</v>
      </c>
      <c r="Q14" s="53" t="s">
        <v>206</v>
      </c>
    </row>
    <row r="15" spans="1:20" x14ac:dyDescent="0.3">
      <c r="A15" s="61">
        <v>13</v>
      </c>
      <c r="B15" s="61">
        <v>44</v>
      </c>
      <c r="C15" t="s">
        <v>289</v>
      </c>
      <c r="E15" s="35">
        <v>2020</v>
      </c>
      <c r="F15" s="48">
        <f>ref_var!B2*178280/1000000</f>
        <v>6.2397999999999998</v>
      </c>
      <c r="G15" s="49">
        <f>30465+2818</f>
        <v>33283</v>
      </c>
      <c r="I15" s="49"/>
      <c r="J15" s="49"/>
      <c r="K15" s="62">
        <v>185096</v>
      </c>
      <c r="L15" s="52"/>
      <c r="M15" s="49"/>
      <c r="N15" s="49">
        <f>G15</f>
        <v>33283</v>
      </c>
      <c r="O15" s="49"/>
      <c r="P15" s="48">
        <v>0.2</v>
      </c>
      <c r="Q15" s="53" t="s">
        <v>192</v>
      </c>
    </row>
    <row r="16" spans="1:20" x14ac:dyDescent="0.3">
      <c r="A16" s="61">
        <v>14</v>
      </c>
      <c r="B16" s="61">
        <v>25</v>
      </c>
      <c r="C16" t="s">
        <v>136</v>
      </c>
      <c r="E16" s="35">
        <v>2006</v>
      </c>
      <c r="F16" s="48">
        <v>22.308845000000002</v>
      </c>
      <c r="G16" s="49">
        <v>379176</v>
      </c>
      <c r="I16" s="49"/>
      <c r="J16" s="49"/>
      <c r="K16" s="49">
        <v>810666.14500000002</v>
      </c>
      <c r="L16" s="49">
        <v>0</v>
      </c>
      <c r="M16" s="49">
        <v>456902</v>
      </c>
      <c r="N16" s="49">
        <v>456902</v>
      </c>
      <c r="O16" s="49"/>
      <c r="P16" s="48">
        <v>0.2</v>
      </c>
      <c r="Q16" s="53" t="s">
        <v>206</v>
      </c>
    </row>
    <row r="17" spans="1:17" x14ac:dyDescent="0.3">
      <c r="A17" s="61">
        <v>15</v>
      </c>
      <c r="B17" s="61">
        <v>26</v>
      </c>
      <c r="C17" t="s">
        <v>137</v>
      </c>
      <c r="E17" s="35">
        <v>2006</v>
      </c>
      <c r="F17" s="48">
        <v>16.156400000000001</v>
      </c>
      <c r="G17" s="49">
        <v>750916</v>
      </c>
      <c r="I17" s="49"/>
      <c r="J17" s="49"/>
      <c r="K17" s="49">
        <v>806069.04</v>
      </c>
      <c r="L17" s="49">
        <v>0</v>
      </c>
      <c r="M17" s="49">
        <v>88233</v>
      </c>
      <c r="N17" s="49">
        <v>88233</v>
      </c>
      <c r="O17" s="49"/>
      <c r="P17" s="48">
        <v>0.2</v>
      </c>
      <c r="Q17" s="53" t="s">
        <v>206</v>
      </c>
    </row>
    <row r="18" spans="1:17" x14ac:dyDescent="0.3">
      <c r="A18" s="61">
        <v>16</v>
      </c>
      <c r="B18" s="61">
        <v>27</v>
      </c>
      <c r="C18" t="s">
        <v>138</v>
      </c>
      <c r="E18" s="35">
        <v>2018</v>
      </c>
      <c r="F18" s="48">
        <v>24.10699</v>
      </c>
      <c r="G18" s="49">
        <v>117263</v>
      </c>
      <c r="I18" s="49"/>
      <c r="J18" s="49"/>
      <c r="K18" s="49">
        <v>199931.53</v>
      </c>
      <c r="L18" s="49">
        <v>0</v>
      </c>
      <c r="M18" s="49"/>
      <c r="N18" s="49">
        <v>117263</v>
      </c>
      <c r="O18" s="49"/>
      <c r="P18" s="48">
        <v>0.2</v>
      </c>
      <c r="Q18" s="53" t="s">
        <v>192</v>
      </c>
    </row>
    <row r="19" spans="1:17" x14ac:dyDescent="0.3">
      <c r="A19" s="61">
        <v>17</v>
      </c>
      <c r="B19" s="61">
        <v>38</v>
      </c>
      <c r="C19" t="s">
        <v>139</v>
      </c>
      <c r="E19" s="35">
        <v>2019</v>
      </c>
      <c r="F19" s="48">
        <v>6.58958625</v>
      </c>
      <c r="G19" s="49">
        <v>17284</v>
      </c>
      <c r="I19" s="49"/>
      <c r="J19" s="49"/>
      <c r="K19" s="49">
        <v>179802</v>
      </c>
      <c r="L19" s="49">
        <v>0</v>
      </c>
      <c r="M19" s="49"/>
      <c r="N19" s="49">
        <v>17284</v>
      </c>
      <c r="O19" s="49"/>
      <c r="P19" s="48">
        <v>0.2</v>
      </c>
      <c r="Q19" s="53" t="s">
        <v>192</v>
      </c>
    </row>
    <row r="20" spans="1:17" x14ac:dyDescent="0.3">
      <c r="A20" s="61">
        <v>18</v>
      </c>
      <c r="B20" s="61">
        <v>45</v>
      </c>
      <c r="C20" t="s">
        <v>140</v>
      </c>
      <c r="E20" s="35">
        <v>2017</v>
      </c>
      <c r="F20" s="48">
        <v>15.336945</v>
      </c>
      <c r="G20" s="52"/>
      <c r="I20" s="49"/>
      <c r="J20" s="49"/>
      <c r="K20" s="52"/>
      <c r="L20" s="52"/>
      <c r="M20" s="49"/>
      <c r="N20" s="49"/>
      <c r="O20" s="49"/>
      <c r="P20" s="48">
        <v>0.2</v>
      </c>
      <c r="Q20" s="53" t="s">
        <v>192</v>
      </c>
    </row>
    <row r="21" spans="1:17" x14ac:dyDescent="0.3">
      <c r="A21" s="61">
        <v>19</v>
      </c>
      <c r="B21" s="61">
        <v>39</v>
      </c>
      <c r="C21" t="s">
        <v>141</v>
      </c>
      <c r="E21" s="35">
        <v>2019</v>
      </c>
      <c r="F21" s="48">
        <v>82.75369400000001</v>
      </c>
      <c r="G21" s="49">
        <v>5169</v>
      </c>
      <c r="I21" s="49"/>
      <c r="J21" s="49"/>
      <c r="K21" s="49">
        <v>1765575</v>
      </c>
      <c r="L21" s="49">
        <v>0</v>
      </c>
      <c r="M21" s="49"/>
      <c r="N21" s="49">
        <v>5169</v>
      </c>
      <c r="O21" s="49"/>
      <c r="P21" s="48">
        <v>0.2</v>
      </c>
      <c r="Q21" s="53" t="s">
        <v>192</v>
      </c>
    </row>
    <row r="22" spans="1:17" x14ac:dyDescent="0.3">
      <c r="A22" s="61">
        <v>20</v>
      </c>
      <c r="B22" s="61">
        <v>40</v>
      </c>
      <c r="C22" t="s">
        <v>142</v>
      </c>
      <c r="E22" s="35">
        <v>2019</v>
      </c>
      <c r="F22" s="48">
        <v>2.10623</v>
      </c>
      <c r="G22" s="49">
        <v>1700</v>
      </c>
      <c r="I22" s="49"/>
      <c r="J22" s="49"/>
      <c r="K22" s="49">
        <v>56919.3</v>
      </c>
      <c r="L22" s="49">
        <v>0</v>
      </c>
      <c r="M22" s="49"/>
      <c r="N22" s="49">
        <v>1700</v>
      </c>
      <c r="O22" s="49"/>
      <c r="P22" s="48">
        <v>0.2</v>
      </c>
      <c r="Q22" s="53" t="s">
        <v>192</v>
      </c>
    </row>
    <row r="23" spans="1:17" x14ac:dyDescent="0.3">
      <c r="A23" s="61">
        <v>21</v>
      </c>
      <c r="B23" s="61">
        <v>43</v>
      </c>
      <c r="C23" t="s">
        <v>143</v>
      </c>
      <c r="D23" t="s">
        <v>144</v>
      </c>
      <c r="E23" s="35">
        <v>2018</v>
      </c>
      <c r="F23" s="48">
        <v>34.894034499999997</v>
      </c>
      <c r="G23" s="49">
        <v>365369</v>
      </c>
      <c r="I23" s="49"/>
      <c r="J23" s="49"/>
      <c r="K23" s="49">
        <v>468645.4</v>
      </c>
      <c r="L23" s="49">
        <v>0</v>
      </c>
      <c r="M23" s="49">
        <v>639323</v>
      </c>
      <c r="N23" s="49">
        <v>365369</v>
      </c>
      <c r="O23" s="49"/>
      <c r="P23" s="48">
        <v>0.2</v>
      </c>
      <c r="Q23" s="53" t="s">
        <v>192</v>
      </c>
    </row>
    <row r="24" spans="1:17" x14ac:dyDescent="0.3">
      <c r="A24" s="61">
        <v>22</v>
      </c>
      <c r="B24" s="61">
        <v>28</v>
      </c>
      <c r="C24" t="s">
        <v>186</v>
      </c>
      <c r="E24" s="35">
        <v>2013</v>
      </c>
      <c r="F24" s="48">
        <v>21.492249999999999</v>
      </c>
      <c r="G24" s="49">
        <f>91465+47719</f>
        <v>139184</v>
      </c>
      <c r="H24" s="35">
        <v>2006</v>
      </c>
      <c r="I24" s="52"/>
      <c r="J24" s="49">
        <v>47719</v>
      </c>
      <c r="K24" s="49">
        <v>405027</v>
      </c>
      <c r="L24" s="49">
        <v>47905</v>
      </c>
      <c r="M24" s="49">
        <v>60269</v>
      </c>
      <c r="N24" s="49">
        <v>91465</v>
      </c>
      <c r="O24" s="49">
        <v>17838</v>
      </c>
      <c r="P24" s="48">
        <v>0.2</v>
      </c>
      <c r="Q24" s="53" t="s">
        <v>195</v>
      </c>
    </row>
    <row r="25" spans="1:17" x14ac:dyDescent="0.3">
      <c r="A25" s="61">
        <v>23</v>
      </c>
      <c r="B25" s="61">
        <v>41</v>
      </c>
      <c r="C25" t="s">
        <v>145</v>
      </c>
      <c r="E25" s="35">
        <v>2018</v>
      </c>
      <c r="F25" s="48">
        <v>18.068999750000003</v>
      </c>
      <c r="G25" s="49">
        <v>171284</v>
      </c>
      <c r="I25" s="49"/>
      <c r="J25" s="49"/>
      <c r="K25" s="49">
        <v>443705</v>
      </c>
      <c r="L25" s="49">
        <v>0</v>
      </c>
      <c r="M25" s="49"/>
      <c r="N25" s="49">
        <v>171284</v>
      </c>
      <c r="O25" s="49"/>
      <c r="P25" s="48">
        <v>0.2</v>
      </c>
      <c r="Q25" s="53" t="s">
        <v>192</v>
      </c>
    </row>
    <row r="26" spans="1:17" x14ac:dyDescent="0.3">
      <c r="A26" s="61">
        <v>24</v>
      </c>
      <c r="B26" s="61">
        <v>29</v>
      </c>
      <c r="C26" t="s">
        <v>146</v>
      </c>
      <c r="E26" s="35">
        <v>2006</v>
      </c>
      <c r="F26" s="48">
        <v>5.8638450000000004</v>
      </c>
      <c r="G26" s="49">
        <v>104599</v>
      </c>
      <c r="I26" s="49"/>
      <c r="J26" s="49"/>
      <c r="K26" s="49">
        <v>128041.16</v>
      </c>
      <c r="L26" s="49">
        <v>0</v>
      </c>
      <c r="M26" s="49">
        <v>109974</v>
      </c>
      <c r="N26" s="49">
        <v>109974</v>
      </c>
      <c r="O26" s="49"/>
      <c r="P26" s="48">
        <v>0.2</v>
      </c>
      <c r="Q26" s="53" t="s">
        <v>206</v>
      </c>
    </row>
    <row r="27" spans="1:17" x14ac:dyDescent="0.3">
      <c r="A27" s="61">
        <v>25</v>
      </c>
      <c r="B27" s="61">
        <v>31</v>
      </c>
      <c r="C27" t="s">
        <v>147</v>
      </c>
      <c r="F27" s="48"/>
      <c r="G27" s="49"/>
      <c r="H27" s="35">
        <v>2015</v>
      </c>
      <c r="I27" s="52"/>
      <c r="J27" s="49">
        <v>78500</v>
      </c>
      <c r="K27" s="49"/>
      <c r="L27" s="49">
        <v>226744</v>
      </c>
      <c r="M27" s="49">
        <v>78500</v>
      </c>
      <c r="N27" s="49"/>
      <c r="O27" s="49">
        <v>78500</v>
      </c>
      <c r="P27" s="48">
        <v>0.2</v>
      </c>
      <c r="Q27" s="53" t="s">
        <v>192</v>
      </c>
    </row>
    <row r="28" spans="1:17" x14ac:dyDescent="0.3">
      <c r="A28" s="61">
        <v>26</v>
      </c>
      <c r="B28" s="61">
        <v>46</v>
      </c>
      <c r="C28" t="s">
        <v>300</v>
      </c>
      <c r="E28" s="35">
        <v>2022</v>
      </c>
      <c r="F28" s="48">
        <v>4.1529150000000001</v>
      </c>
      <c r="G28" s="49">
        <v>35000</v>
      </c>
      <c r="I28" s="52"/>
      <c r="J28" s="49"/>
      <c r="K28" s="49">
        <v>272702</v>
      </c>
      <c r="L28" s="49"/>
      <c r="M28" s="49"/>
      <c r="N28" s="49">
        <v>35000</v>
      </c>
      <c r="O28" s="49"/>
      <c r="P28" s="48">
        <v>0.2</v>
      </c>
      <c r="Q28" s="53" t="s">
        <v>192</v>
      </c>
    </row>
    <row r="29" spans="1:17" x14ac:dyDescent="0.3">
      <c r="A29" s="61">
        <v>27</v>
      </c>
      <c r="B29" s="61">
        <v>32</v>
      </c>
      <c r="C29" t="s">
        <v>148</v>
      </c>
      <c r="E29" s="35">
        <v>2006</v>
      </c>
      <c r="F29" s="48">
        <v>88.97245936015824</v>
      </c>
      <c r="G29" s="49">
        <v>1661489</v>
      </c>
      <c r="H29" s="35">
        <v>2006</v>
      </c>
      <c r="I29" s="49">
        <v>4340</v>
      </c>
      <c r="J29" s="52"/>
      <c r="K29" s="49">
        <v>3025999</v>
      </c>
      <c r="L29" s="49">
        <v>37826</v>
      </c>
      <c r="M29" s="49">
        <v>1208548</v>
      </c>
      <c r="N29" s="49">
        <v>1208548</v>
      </c>
      <c r="O29" s="49"/>
      <c r="P29" s="48">
        <v>0.2</v>
      </c>
      <c r="Q29" s="53" t="s">
        <v>206</v>
      </c>
    </row>
    <row r="30" spans="1:17" x14ac:dyDescent="0.3">
      <c r="A30" s="61">
        <v>28</v>
      </c>
      <c r="B30" s="61">
        <v>30</v>
      </c>
      <c r="C30" t="s">
        <v>149</v>
      </c>
      <c r="E30" s="35">
        <v>2019</v>
      </c>
      <c r="F30" s="48">
        <v>7.6665950000000009</v>
      </c>
      <c r="G30" s="49">
        <v>89666</v>
      </c>
      <c r="H30" s="35">
        <v>2009</v>
      </c>
      <c r="I30" s="49">
        <v>39825</v>
      </c>
      <c r="J30" s="62">
        <v>76586</v>
      </c>
      <c r="K30" s="49">
        <v>189269</v>
      </c>
      <c r="L30" s="49">
        <v>202276</v>
      </c>
      <c r="M30" s="49">
        <v>57370</v>
      </c>
      <c r="N30" s="49">
        <v>13080</v>
      </c>
      <c r="O30" s="62">
        <v>76586</v>
      </c>
      <c r="P30" s="48">
        <v>0.2</v>
      </c>
      <c r="Q30" s="53" t="s">
        <v>192</v>
      </c>
    </row>
    <row r="31" spans="1:17" x14ac:dyDescent="0.3">
      <c r="A31" s="61">
        <v>29</v>
      </c>
      <c r="B31" s="61">
        <v>34</v>
      </c>
      <c r="C31" t="s">
        <v>150</v>
      </c>
      <c r="F31" s="48"/>
      <c r="G31" s="49"/>
      <c r="H31" s="35">
        <v>2006</v>
      </c>
      <c r="I31" s="52"/>
      <c r="J31" s="49">
        <v>27071</v>
      </c>
      <c r="K31" s="49">
        <v>0</v>
      </c>
      <c r="L31" s="49">
        <v>76574</v>
      </c>
      <c r="M31" s="49">
        <v>27071</v>
      </c>
      <c r="N31" s="49"/>
      <c r="O31" s="49">
        <v>27071</v>
      </c>
      <c r="P31" s="48">
        <v>0.2</v>
      </c>
      <c r="Q31" s="53" t="s">
        <v>206</v>
      </c>
    </row>
    <row r="32" spans="1:17" x14ac:dyDescent="0.3">
      <c r="A32" s="61">
        <v>30</v>
      </c>
      <c r="B32" s="61">
        <v>35</v>
      </c>
      <c r="C32" t="s">
        <v>151</v>
      </c>
      <c r="F32" s="48"/>
      <c r="G32" s="49"/>
      <c r="H32" s="35">
        <v>2012</v>
      </c>
      <c r="I32" s="52"/>
      <c r="J32" s="49">
        <v>43903</v>
      </c>
      <c r="K32" s="49">
        <v>0</v>
      </c>
      <c r="L32" s="49">
        <v>112610</v>
      </c>
      <c r="M32" s="49">
        <v>43903</v>
      </c>
      <c r="N32" s="49"/>
      <c r="O32" s="49">
        <v>43903</v>
      </c>
      <c r="P32" s="48">
        <v>0.2</v>
      </c>
      <c r="Q32" s="53" t="s">
        <v>192</v>
      </c>
    </row>
    <row r="33" spans="1:17" x14ac:dyDescent="0.3">
      <c r="A33" s="61">
        <v>31</v>
      </c>
      <c r="B33" s="61">
        <v>36</v>
      </c>
      <c r="C33" t="s">
        <v>152</v>
      </c>
      <c r="F33" s="48"/>
      <c r="G33" s="49"/>
      <c r="H33" s="35">
        <v>2006</v>
      </c>
      <c r="I33" s="52"/>
      <c r="J33" s="49">
        <v>30005</v>
      </c>
      <c r="K33" s="49">
        <v>0</v>
      </c>
      <c r="L33" s="49">
        <v>118505</v>
      </c>
      <c r="M33" s="49">
        <v>17755</v>
      </c>
      <c r="N33" s="49"/>
      <c r="O33" s="49">
        <v>17755</v>
      </c>
      <c r="P33" s="48">
        <v>0.2</v>
      </c>
      <c r="Q33" s="53" t="s">
        <v>206</v>
      </c>
    </row>
    <row r="34" spans="1:17" x14ac:dyDescent="0.3">
      <c r="A34" s="61">
        <v>32</v>
      </c>
      <c r="B34" s="61">
        <v>37</v>
      </c>
      <c r="C34" t="s">
        <v>153</v>
      </c>
      <c r="F34" s="48"/>
      <c r="G34" s="49"/>
      <c r="H34" s="35">
        <v>2006</v>
      </c>
      <c r="I34" s="52"/>
      <c r="J34" s="49">
        <v>113103</v>
      </c>
      <c r="K34" s="49">
        <v>0</v>
      </c>
      <c r="L34" s="49">
        <v>475126</v>
      </c>
      <c r="M34" s="49">
        <v>72743</v>
      </c>
      <c r="N34" s="49"/>
      <c r="O34" s="49">
        <v>72743</v>
      </c>
      <c r="P34" s="48">
        <v>0.2</v>
      </c>
      <c r="Q34" s="53" t="s">
        <v>206</v>
      </c>
    </row>
    <row r="35" spans="1:17" x14ac:dyDescent="0.3">
      <c r="A35" s="61">
        <v>33</v>
      </c>
      <c r="B35" s="61">
        <v>3</v>
      </c>
      <c r="C35" s="51" t="s">
        <v>156</v>
      </c>
      <c r="D35" s="51" t="s">
        <v>157</v>
      </c>
      <c r="E35" s="35">
        <v>2006</v>
      </c>
      <c r="F35" s="66">
        <v>991.30373800000007</v>
      </c>
      <c r="G35" s="62">
        <v>15046000</v>
      </c>
      <c r="I35" s="62"/>
      <c r="J35" s="49"/>
      <c r="K35" s="62">
        <v>25174657</v>
      </c>
      <c r="L35" s="62">
        <v>0</v>
      </c>
      <c r="M35" s="62"/>
      <c r="N35" s="49"/>
      <c r="O35" s="49"/>
      <c r="P35" s="49"/>
    </row>
    <row r="36" spans="1:17" x14ac:dyDescent="0.3">
      <c r="A36" s="61">
        <v>34</v>
      </c>
      <c r="B36" s="61">
        <v>4</v>
      </c>
      <c r="C36" s="51" t="s">
        <v>158</v>
      </c>
      <c r="D36" s="51" t="s">
        <v>157</v>
      </c>
      <c r="E36" s="35">
        <v>2006</v>
      </c>
      <c r="F36" s="66">
        <v>1159.3696717667349</v>
      </c>
      <c r="G36" s="62">
        <v>17154752</v>
      </c>
      <c r="I36" s="62">
        <v>43177</v>
      </c>
      <c r="J36" s="49"/>
      <c r="K36" s="62">
        <v>47186525</v>
      </c>
      <c r="L36" s="62">
        <v>1138571</v>
      </c>
      <c r="M36" s="62">
        <v>8784765</v>
      </c>
      <c r="N36" s="62">
        <v>9191809</v>
      </c>
      <c r="O36" s="49"/>
      <c r="P36" s="49"/>
      <c r="Q36" s="53" t="s">
        <v>201</v>
      </c>
    </row>
    <row r="37" spans="1:17" x14ac:dyDescent="0.3">
      <c r="A37" s="61">
        <v>35</v>
      </c>
      <c r="B37" s="61">
        <v>14</v>
      </c>
      <c r="C37" s="51" t="s">
        <v>159</v>
      </c>
      <c r="D37" s="51" t="s">
        <v>160</v>
      </c>
      <c r="E37" s="35">
        <v>2006</v>
      </c>
      <c r="F37" s="66">
        <v>40.362147858829353</v>
      </c>
      <c r="G37" s="62">
        <v>750916</v>
      </c>
      <c r="H37" s="35">
        <v>2006</v>
      </c>
      <c r="I37" s="62">
        <v>462</v>
      </c>
      <c r="J37" s="52"/>
      <c r="K37" s="62">
        <v>0</v>
      </c>
      <c r="L37" s="62">
        <v>134076</v>
      </c>
      <c r="M37" s="62">
        <v>401446</v>
      </c>
      <c r="N37" s="49"/>
      <c r="O37" s="49"/>
      <c r="P37" s="49"/>
    </row>
    <row r="38" spans="1:17" x14ac:dyDescent="0.3">
      <c r="A38" s="61">
        <v>36</v>
      </c>
      <c r="B38" s="61">
        <v>15</v>
      </c>
      <c r="C38" s="51" t="s">
        <v>161</v>
      </c>
      <c r="D38" s="51" t="s">
        <v>162</v>
      </c>
      <c r="E38" s="35">
        <v>2006</v>
      </c>
      <c r="F38" s="66">
        <v>48.241739000000003</v>
      </c>
      <c r="G38" s="62">
        <v>416600</v>
      </c>
      <c r="I38" s="62"/>
      <c r="J38" s="49"/>
      <c r="K38" s="62">
        <v>0</v>
      </c>
      <c r="L38" s="62">
        <v>0</v>
      </c>
      <c r="M38" s="62">
        <v>159470</v>
      </c>
      <c r="N38" s="49"/>
      <c r="O38" s="49"/>
      <c r="P38" s="49"/>
    </row>
    <row r="39" spans="1:17" x14ac:dyDescent="0.3">
      <c r="A39" s="61">
        <v>37</v>
      </c>
      <c r="B39" s="61">
        <v>16</v>
      </c>
      <c r="C39" s="51" t="s">
        <v>163</v>
      </c>
      <c r="D39" s="51" t="s">
        <v>164</v>
      </c>
      <c r="E39" s="35">
        <v>2007</v>
      </c>
      <c r="F39" s="66">
        <v>253.80996500000001</v>
      </c>
      <c r="G39" s="62">
        <v>3962772</v>
      </c>
      <c r="H39" s="35">
        <v>2007</v>
      </c>
      <c r="I39" s="62">
        <v>22278</v>
      </c>
      <c r="J39" s="52"/>
      <c r="K39" s="62">
        <v>0</v>
      </c>
      <c r="L39" s="62">
        <v>458103</v>
      </c>
      <c r="M39" s="62">
        <v>2496846</v>
      </c>
      <c r="N39" s="49"/>
      <c r="O39" s="49"/>
      <c r="P39" s="49"/>
    </row>
    <row r="40" spans="1:17" x14ac:dyDescent="0.3">
      <c r="A40" s="61">
        <v>38</v>
      </c>
      <c r="B40" s="61">
        <v>17</v>
      </c>
      <c r="C40" s="51" t="s">
        <v>165</v>
      </c>
      <c r="D40" s="51"/>
      <c r="E40" s="35">
        <v>2011</v>
      </c>
      <c r="F40" s="66">
        <v>25.465912020397255</v>
      </c>
      <c r="G40" s="62">
        <v>407044</v>
      </c>
      <c r="I40" s="62"/>
      <c r="J40" s="49"/>
      <c r="K40" s="62">
        <v>0</v>
      </c>
      <c r="L40" s="62">
        <v>0</v>
      </c>
      <c r="M40" s="62"/>
      <c r="N40" s="49"/>
      <c r="O40" s="49"/>
      <c r="P40" s="49"/>
    </row>
    <row r="41" spans="1:17" x14ac:dyDescent="0.3">
      <c r="A41" s="61">
        <v>39</v>
      </c>
      <c r="B41" s="61">
        <v>18</v>
      </c>
      <c r="C41" s="51" t="s">
        <v>166</v>
      </c>
      <c r="D41" s="51"/>
      <c r="E41" s="35">
        <v>2006</v>
      </c>
      <c r="F41" s="66">
        <v>67.272096859509247</v>
      </c>
      <c r="G41" s="62">
        <v>997134</v>
      </c>
      <c r="H41" s="35">
        <v>2006</v>
      </c>
      <c r="I41" s="62">
        <v>865</v>
      </c>
      <c r="J41" s="52"/>
      <c r="K41" s="62">
        <v>0</v>
      </c>
      <c r="L41" s="62">
        <v>406326</v>
      </c>
      <c r="M41" s="62">
        <v>1960226</v>
      </c>
      <c r="N41" s="49"/>
      <c r="O41" s="49"/>
      <c r="P41" s="49"/>
    </row>
    <row r="42" spans="1:17" x14ac:dyDescent="0.3">
      <c r="A42" s="61">
        <v>40</v>
      </c>
      <c r="B42" s="61">
        <v>19</v>
      </c>
      <c r="C42" s="51" t="s">
        <v>167</v>
      </c>
      <c r="D42" s="51"/>
      <c r="E42" s="35">
        <v>2006</v>
      </c>
      <c r="F42" s="66">
        <v>36.50436441479696</v>
      </c>
      <c r="G42" s="62">
        <v>499668</v>
      </c>
      <c r="I42" s="62"/>
      <c r="J42" s="49"/>
      <c r="K42" s="62">
        <v>0</v>
      </c>
      <c r="L42" s="62">
        <v>0</v>
      </c>
      <c r="M42" s="62">
        <v>356883</v>
      </c>
      <c r="N42" s="49"/>
      <c r="O42" s="49"/>
      <c r="P42" s="49"/>
    </row>
    <row r="43" spans="1:17" x14ac:dyDescent="0.3">
      <c r="A43" s="61">
        <v>41</v>
      </c>
      <c r="B43" s="61">
        <v>20</v>
      </c>
      <c r="C43" s="51" t="s">
        <v>168</v>
      </c>
      <c r="D43" s="51" t="s">
        <v>169</v>
      </c>
      <c r="E43" s="35">
        <v>2006</v>
      </c>
      <c r="F43" s="66">
        <v>99.01841316669757</v>
      </c>
      <c r="G43" s="62">
        <v>2239720</v>
      </c>
      <c r="H43" s="35">
        <v>2006</v>
      </c>
      <c r="I43" s="62">
        <v>13501</v>
      </c>
      <c r="J43" s="52"/>
      <c r="K43" s="62">
        <v>0</v>
      </c>
      <c r="L43" s="62">
        <v>80363</v>
      </c>
      <c r="M43" s="62">
        <v>1290485</v>
      </c>
      <c r="N43" s="49"/>
      <c r="O43" s="49"/>
      <c r="P43" s="49"/>
    </row>
    <row r="44" spans="1:17" x14ac:dyDescent="0.3">
      <c r="A44" s="61">
        <v>42</v>
      </c>
      <c r="B44" s="61">
        <v>21</v>
      </c>
      <c r="C44" s="51" t="s">
        <v>170</v>
      </c>
      <c r="D44" s="51" t="s">
        <v>171</v>
      </c>
      <c r="E44" s="35">
        <v>2006</v>
      </c>
      <c r="F44" s="66">
        <v>71.557525128561721</v>
      </c>
      <c r="G44" s="62">
        <v>2006171</v>
      </c>
      <c r="H44" s="35">
        <v>2006</v>
      </c>
      <c r="I44" s="62">
        <v>462</v>
      </c>
      <c r="J44" s="52"/>
      <c r="K44" s="62">
        <v>0</v>
      </c>
      <c r="L44" s="62">
        <v>0</v>
      </c>
      <c r="M44" s="62">
        <v>463818</v>
      </c>
      <c r="N44" s="49"/>
      <c r="O44" s="49"/>
      <c r="P44" s="49"/>
    </row>
    <row r="45" spans="1:17" x14ac:dyDescent="0.3">
      <c r="A45" s="61">
        <v>43</v>
      </c>
      <c r="B45" s="61">
        <v>22</v>
      </c>
      <c r="C45" s="51" t="s">
        <v>172</v>
      </c>
      <c r="D45" s="51" t="s">
        <v>173</v>
      </c>
      <c r="E45" s="35">
        <v>2006</v>
      </c>
      <c r="F45" s="66">
        <v>107.51103000000001</v>
      </c>
      <c r="G45" s="62">
        <v>495611</v>
      </c>
      <c r="I45" s="62"/>
      <c r="J45" s="49"/>
      <c r="K45" s="62">
        <v>0</v>
      </c>
      <c r="L45" s="62">
        <v>0</v>
      </c>
      <c r="M45" s="62">
        <v>1400074</v>
      </c>
      <c r="N45" s="49"/>
      <c r="O45" s="49"/>
      <c r="P45" s="49"/>
    </row>
    <row r="46" spans="1:17" x14ac:dyDescent="0.3">
      <c r="A46" s="61">
        <v>44</v>
      </c>
      <c r="B46" s="61">
        <v>23</v>
      </c>
      <c r="C46" s="51" t="s">
        <v>174</v>
      </c>
      <c r="D46" s="51" t="s">
        <v>175</v>
      </c>
      <c r="E46" s="35">
        <v>2006</v>
      </c>
      <c r="F46" s="66">
        <v>361.74561699999998</v>
      </c>
      <c r="G46" s="62">
        <v>3734343</v>
      </c>
      <c r="H46" s="35">
        <v>2006</v>
      </c>
      <c r="I46" s="62">
        <v>3245</v>
      </c>
      <c r="J46" s="52"/>
      <c r="K46" s="62">
        <v>0</v>
      </c>
      <c r="L46" s="62">
        <v>23586</v>
      </c>
      <c r="M46" s="62"/>
      <c r="N46" s="49"/>
      <c r="O46" s="49"/>
      <c r="P46" s="49"/>
    </row>
    <row r="47" spans="1:17" x14ac:dyDescent="0.3">
      <c r="A47" s="61">
        <v>45</v>
      </c>
      <c r="B47" s="61">
        <v>33</v>
      </c>
      <c r="C47" s="51" t="s">
        <v>176</v>
      </c>
      <c r="D47" s="51"/>
      <c r="E47" s="35">
        <v>2006</v>
      </c>
      <c r="F47" s="66">
        <v>34.717373317943014</v>
      </c>
      <c r="G47" s="62">
        <v>495611</v>
      </c>
      <c r="H47" s="35">
        <v>2006</v>
      </c>
      <c r="I47" s="62">
        <v>2364</v>
      </c>
      <c r="J47" s="52"/>
      <c r="K47" s="62">
        <v>0</v>
      </c>
      <c r="L47" s="62">
        <v>36117</v>
      </c>
      <c r="M47" s="62">
        <v>255517</v>
      </c>
      <c r="N47" s="49"/>
      <c r="O47" s="49"/>
      <c r="P47" s="49"/>
    </row>
    <row r="48" spans="1:17" x14ac:dyDescent="0.3">
      <c r="A48" s="61">
        <v>46</v>
      </c>
      <c r="B48" s="61">
        <v>1</v>
      </c>
      <c r="C48" s="51" t="s">
        <v>154</v>
      </c>
      <c r="D48" s="51" t="s">
        <v>155</v>
      </c>
      <c r="F48" s="48"/>
      <c r="G48" s="49"/>
      <c r="I48" s="49"/>
    </row>
    <row r="51" spans="3:3" x14ac:dyDescent="0.3">
      <c r="C51" s="51" t="s">
        <v>211</v>
      </c>
    </row>
    <row r="52" spans="3:3" x14ac:dyDescent="0.3">
      <c r="C52" s="40" t="s">
        <v>193</v>
      </c>
    </row>
    <row r="53" spans="3:3" x14ac:dyDescent="0.3">
      <c r="C53" t="s">
        <v>290</v>
      </c>
    </row>
  </sheetData>
  <sortState xmlns:xlrd2="http://schemas.microsoft.com/office/spreadsheetml/2017/richdata2" ref="A3:T48">
    <sortCondition ref="A2:A48"/>
  </sortState>
  <conditionalFormatting sqref="E3:E48 H3:H48">
    <cfRule type="cellIs" dxfId="1" priority="1" operator="greaterThan">
      <formula>2006</formula>
    </cfRule>
  </conditionalFormatting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9BE32-03A2-4EA7-8A18-172F839A2FB1}">
  <dimension ref="A1:Y30"/>
  <sheetViews>
    <sheetView zoomScale="90" zoomScaleNormal="90" workbookViewId="0">
      <selection activeCell="D14" sqref="D14:G14"/>
    </sheetView>
  </sheetViews>
  <sheetFormatPr baseColWidth="10" defaultRowHeight="14.4" x14ac:dyDescent="0.3"/>
  <cols>
    <col min="1" max="1" width="8.109375" customWidth="1"/>
    <col min="2" max="2" width="10.44140625" customWidth="1"/>
    <col min="3" max="3" width="12.33203125" customWidth="1"/>
    <col min="4" max="4" width="10.33203125" bestFit="1" customWidth="1"/>
    <col min="6" max="6" width="11.88671875" bestFit="1" customWidth="1"/>
    <col min="7" max="7" width="12.44140625" customWidth="1"/>
    <col min="8" max="9" width="13.109375" bestFit="1" customWidth="1"/>
    <col min="10" max="10" width="12.6640625" customWidth="1"/>
    <col min="11" max="11" width="13.5546875" customWidth="1"/>
    <col min="13" max="13" width="11.5546875" customWidth="1"/>
    <col min="14" max="14" width="12.109375" customWidth="1"/>
    <col min="15" max="15" width="12.5546875" customWidth="1"/>
    <col min="16" max="16" width="10.6640625" customWidth="1"/>
    <col min="17" max="17" width="12.33203125" customWidth="1"/>
    <col min="18" max="18" width="12.6640625" customWidth="1"/>
    <col min="19" max="19" width="10.109375" customWidth="1"/>
    <col min="20" max="20" width="10" customWidth="1"/>
    <col min="23" max="23" width="12.33203125" customWidth="1"/>
    <col min="24" max="25" width="10.44140625" customWidth="1"/>
  </cols>
  <sheetData>
    <row r="1" spans="1:25" x14ac:dyDescent="0.3">
      <c r="A1" s="56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M1" s="57" t="s">
        <v>200</v>
      </c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5" x14ac:dyDescent="0.3">
      <c r="A2" s="58" t="s">
        <v>100</v>
      </c>
      <c r="B2" s="58" t="str">
        <f>ref_var!$F$28</f>
        <v>Veuillez consulter l'onglet Instructions.</v>
      </c>
      <c r="C2" s="58"/>
      <c r="D2" s="58"/>
      <c r="E2" s="58"/>
      <c r="F2" s="58"/>
      <c r="G2" s="58"/>
      <c r="H2" s="58"/>
      <c r="I2" s="58"/>
      <c r="J2" s="58"/>
      <c r="K2" s="58"/>
    </row>
    <row r="3" spans="1:25" ht="28.8" x14ac:dyDescent="0.3">
      <c r="A3" s="35" t="s">
        <v>99</v>
      </c>
      <c r="B3" s="67" t="s">
        <v>178</v>
      </c>
      <c r="C3" s="67" t="s">
        <v>179</v>
      </c>
      <c r="D3" s="68" t="s">
        <v>102</v>
      </c>
      <c r="E3" s="68" t="s">
        <v>103</v>
      </c>
      <c r="F3" s="68" t="s">
        <v>104</v>
      </c>
      <c r="G3" s="68" t="s">
        <v>105</v>
      </c>
      <c r="H3" s="67" t="s">
        <v>198</v>
      </c>
      <c r="I3" s="68" t="s">
        <v>199</v>
      </c>
      <c r="J3" s="71" t="s">
        <v>212</v>
      </c>
      <c r="K3" s="71" t="s">
        <v>213</v>
      </c>
      <c r="M3" s="67" t="s">
        <v>181</v>
      </c>
      <c r="N3" s="74" t="s">
        <v>182</v>
      </c>
      <c r="O3" s="67" t="s">
        <v>204</v>
      </c>
      <c r="P3" s="68" t="s">
        <v>205</v>
      </c>
      <c r="Q3" s="67" t="s">
        <v>197</v>
      </c>
      <c r="R3" s="68" t="s">
        <v>196</v>
      </c>
      <c r="S3" s="67" t="s">
        <v>207</v>
      </c>
      <c r="T3" s="68" t="s">
        <v>208</v>
      </c>
      <c r="U3" s="71" t="s">
        <v>215</v>
      </c>
      <c r="V3" s="71" t="s">
        <v>216</v>
      </c>
      <c r="W3" s="71" t="s">
        <v>217</v>
      </c>
      <c r="X3" s="133" t="s">
        <v>297</v>
      </c>
      <c r="Y3" s="133" t="s">
        <v>298</v>
      </c>
    </row>
    <row r="4" spans="1:25" x14ac:dyDescent="0.3">
      <c r="A4" s="35">
        <f>ref_var!F27</f>
        <v>2021</v>
      </c>
      <c r="B4" s="48">
        <f>('PTAS non-électrique - Régie'!N10+'PTAS non-électrique - Contrat'!N10)/1000000</f>
        <v>0</v>
      </c>
      <c r="C4" s="48">
        <f>('PTAS électrique - Régie'!N10+'PTAS électrique - Contrat'!N10+'PTAS - Métro'!N10)/1000000</f>
        <v>0</v>
      </c>
      <c r="D4" s="49">
        <f>'PTAS non-électrique - Régie'!D18+'PTAS non-électrique - Contrat'!D18</f>
        <v>0</v>
      </c>
      <c r="E4" s="49">
        <f>'PTAS non-électrique - Régie'!D19+'PTAS non-électrique - Contrat'!D19</f>
        <v>0</v>
      </c>
      <c r="F4" s="49">
        <f>'PTAS électrique - Régie'!D18+'PTAS électrique - Contrat'!D18</f>
        <v>0</v>
      </c>
      <c r="G4" s="49">
        <f>'PTAS électrique - Régie'!D19+'PTAS électrique - Contrat'!D19</f>
        <v>0</v>
      </c>
      <c r="H4" s="49">
        <f>'PTAS - Dépenses'!E24</f>
        <v>0</v>
      </c>
      <c r="I4" s="49">
        <f>'PTAS - Dépenses'!D24</f>
        <v>0</v>
      </c>
      <c r="J4" s="49">
        <f>'PTAS - Train'!N10/1000000</f>
        <v>0</v>
      </c>
      <c r="K4" s="49">
        <f>'PTAS - Dépenses'!F24</f>
        <v>0</v>
      </c>
      <c r="M4" s="49" t="e">
        <f>IF($A$12=0,0,((B4+C4)/$B$12-1)*ref_var!$F$2*$C$16)+$J$12</f>
        <v>#N/A</v>
      </c>
      <c r="N4" s="60" t="e">
        <f>(E4+G4)-$F$16+$K$12</f>
        <v>#N/A</v>
      </c>
      <c r="O4" s="48" t="e">
        <f>(M4*ref_var!$F$12*ref_var!$F$13*(ref_var!$F$16-ref_var!$F$18))/1000000</f>
        <v>#N/A</v>
      </c>
      <c r="P4" s="48" t="e">
        <f>(N4*ref_var!$F$12*ref_var!$F$13*(ref_var!$F$16-ref_var!$F$17))/1000000</f>
        <v>#N/A</v>
      </c>
      <c r="Q4" s="49" t="e">
        <f>IF(A12&gt;2021,I16,IFERROR(H4/(B4+C4)*((B4+C4)-$B$12)/((((B4+C4)/$B$12-1)*ref_var!$F$2*$C$16)*ref_var!$F$12*ref_var!$F$13*(ref_var!$F$16-ref_var!$F$18)/1000000),0))</f>
        <v>#N/A</v>
      </c>
      <c r="R4" s="49">
        <f>IFERROR(I4/(((E4+G4)*ref_var!$F$12*ref_var!$F$13*(ref_var!$F$16-ref_var!$F$17))/1000000),0)</f>
        <v>0</v>
      </c>
      <c r="S4" s="65">
        <f>IFERROR(MIN(0.65,0.5+0.15*C4/((B4+C4)-$B$12)),0)</f>
        <v>0</v>
      </c>
      <c r="T4" s="65">
        <f>IFERROR(MIN(0.65,0.5+0.15*G4/((E4+G4)-$F$16+$K$12)),0)</f>
        <v>0</v>
      </c>
      <c r="U4" s="49">
        <f>IFERROR(IF($A$12=0,0,(J4/$M$12-1)*ref_var!$F$2*$N$12),0)</f>
        <v>0</v>
      </c>
      <c r="V4" s="48">
        <f>(U4*ref_var!$F$12*ref_var!$F$13*(ref_var!$F$16-ref_var!$F$18))/1000000</f>
        <v>0</v>
      </c>
      <c r="W4" s="49">
        <f>IFERROR(K4/J4*(J4-$M$12)/(((J4/$M$12-1)*ref_var!$F$2*$N$12)*ref_var!$F$12*ref_var!$F$13*(ref_var!$F$16-ref_var!$F$18)/1000000),0)</f>
        <v>0</v>
      </c>
    </row>
    <row r="5" spans="1:25" x14ac:dyDescent="0.3">
      <c r="A5" s="35">
        <f>A4+1</f>
        <v>2022</v>
      </c>
      <c r="B5" s="48">
        <f>('PTAS non-électrique - Régie'!O10+'PTAS non-électrique - Contrat'!O10)/1000000</f>
        <v>0</v>
      </c>
      <c r="C5" s="48">
        <f>('PTAS électrique - Régie'!O10+'PTAS électrique - Contrat'!O10+'PTAS - Métro'!O10)/1000000</f>
        <v>0</v>
      </c>
      <c r="D5" s="49">
        <f>'PTAS non-électrique - Régie'!F18+'PTAS non-électrique - Contrat'!F18</f>
        <v>0</v>
      </c>
      <c r="E5" s="49">
        <f>'PTAS non-électrique - Régie'!F19+'PTAS non-électrique - Contrat'!F19</f>
        <v>0</v>
      </c>
      <c r="F5" s="49">
        <f>'PTAS électrique - Régie'!F18+'PTAS électrique - Contrat'!F18</f>
        <v>0</v>
      </c>
      <c r="G5" s="49">
        <f>'PTAS électrique - Régie'!F19+'PTAS électrique - Contrat'!F19</f>
        <v>0</v>
      </c>
      <c r="H5" s="60">
        <f>H4</f>
        <v>0</v>
      </c>
      <c r="I5" s="60">
        <f>I4</f>
        <v>0</v>
      </c>
      <c r="J5" s="49">
        <f>'PTAS - Train'!O10/1000000</f>
        <v>0</v>
      </c>
      <c r="K5" s="60">
        <f>K4</f>
        <v>0</v>
      </c>
      <c r="M5" s="49" t="e">
        <f>IF($A$12=0,0,((B5+C5)/$B$12-1)*ref_var!$F$2*$C$16)+$J$12</f>
        <v>#N/A</v>
      </c>
      <c r="N5" s="60" t="e">
        <f>(E5+G5)-$F$16+$K$12</f>
        <v>#N/A</v>
      </c>
      <c r="O5" s="48" t="e">
        <f>(M5*ref_var!$F$12*ref_var!$F$13*(ref_var!$F$16-ref_var!$F$18))/1000000</f>
        <v>#N/A</v>
      </c>
      <c r="P5" s="48" t="e">
        <f>(N5*ref_var!$F$12*ref_var!$F$13*(ref_var!$F$16-ref_var!$F$17))/1000000</f>
        <v>#N/A</v>
      </c>
      <c r="Q5" s="60" t="e">
        <f>Q4</f>
        <v>#N/A</v>
      </c>
      <c r="R5" s="60">
        <f>R4</f>
        <v>0</v>
      </c>
      <c r="S5" s="65">
        <f>IFERROR(MIN(0.65,0.5+0.15*C5/((B5+C5)-$B$12)),0)</f>
        <v>0</v>
      </c>
      <c r="T5" s="65">
        <f>IFERROR(MIN(0.65,0.5+0.15*G5/((E5+G5)-$F$16+$K$12)),0)</f>
        <v>0</v>
      </c>
      <c r="U5" s="49">
        <f>IFERROR(IF($A$12=0,0,(J5/$M$12-1)*ref_var!$F$2*$N$12),0)</f>
        <v>0</v>
      </c>
      <c r="V5" s="48">
        <f>(U5*ref_var!$F$12*ref_var!$F$13*(ref_var!$F$16-ref_var!$F$18))/1000000</f>
        <v>0</v>
      </c>
      <c r="W5" s="60">
        <f>W4</f>
        <v>0</v>
      </c>
      <c r="X5" s="49" t="e">
        <f>(Q5*(O5-O4)*S5)+(R5*(P5-P4)*T5)+(W5*(V5-V4))</f>
        <v>#N/A</v>
      </c>
      <c r="Y5" s="49" t="e">
        <f>(Q5*(O5-$O$4)*S5)+(R5*(P5-$P$4)*T5)+(W5*(V5-$V$4))</f>
        <v>#N/A</v>
      </c>
    </row>
    <row r="6" spans="1:25" x14ac:dyDescent="0.3">
      <c r="A6" s="35">
        <f t="shared" ref="A6:A7" si="0">A5+1</f>
        <v>2023</v>
      </c>
      <c r="B6" s="48">
        <f>('PTAS non-électrique - Régie'!P10+'PTAS non-électrique - Contrat'!P10)/1000000</f>
        <v>0</v>
      </c>
      <c r="C6" s="48">
        <f>('PTAS électrique - Régie'!P10+'PTAS électrique - Contrat'!P10+'PTAS - Métro'!P10)/1000000</f>
        <v>0</v>
      </c>
      <c r="D6" s="49">
        <f>'PTAS non-électrique - Régie'!H18+'PTAS non-électrique - Contrat'!H18</f>
        <v>0</v>
      </c>
      <c r="E6" s="49">
        <f>'PTAS non-électrique - Régie'!H19+'PTAS non-électrique - Contrat'!H19</f>
        <v>0</v>
      </c>
      <c r="F6" s="49">
        <f>'PTAS électrique - Régie'!H18+'PTAS électrique - Contrat'!H18</f>
        <v>0</v>
      </c>
      <c r="G6" s="49">
        <f>'PTAS électrique - Régie'!H19+'PTAS électrique - Contrat'!H19</f>
        <v>0</v>
      </c>
      <c r="H6" s="60">
        <f t="shared" ref="H6:I6" si="1">H5</f>
        <v>0</v>
      </c>
      <c r="I6" s="60">
        <f t="shared" si="1"/>
        <v>0</v>
      </c>
      <c r="J6" s="49">
        <f>'PTAS - Train'!P10/1000000</f>
        <v>0</v>
      </c>
      <c r="K6" s="60">
        <f t="shared" ref="K6" si="2">K5</f>
        <v>0</v>
      </c>
      <c r="M6" s="49" t="e">
        <f>IF($A$12=0,0,((B6+C6)/$B$12-1)*ref_var!$F$2*$C$16)+$J$12</f>
        <v>#N/A</v>
      </c>
      <c r="N6" s="60" t="e">
        <f>(E6+G6)-$F$16+$K$12</f>
        <v>#N/A</v>
      </c>
      <c r="O6" s="48" t="e">
        <f>(M6*ref_var!$F$12*ref_var!$F$13*(ref_var!$F$16-ref_var!$F$18))/1000000</f>
        <v>#N/A</v>
      </c>
      <c r="P6" s="48" t="e">
        <f>(N6*ref_var!$F$12*ref_var!$F$13*(ref_var!$F$16-ref_var!$F$17))/1000000</f>
        <v>#N/A</v>
      </c>
      <c r="Q6" s="60" t="e">
        <f t="shared" ref="Q6:R7" si="3">Q5</f>
        <v>#N/A</v>
      </c>
      <c r="R6" s="60">
        <f t="shared" si="3"/>
        <v>0</v>
      </c>
      <c r="S6" s="65">
        <f>IFERROR(MIN(0.65,0.5+0.15*C6/((B6+C6)-$B$12)),0)</f>
        <v>0</v>
      </c>
      <c r="T6" s="65">
        <f>IFERROR(MIN(0.65,0.5+0.15*G6/((E6+G6)-$F$16+$K$12)),0)</f>
        <v>0</v>
      </c>
      <c r="U6" s="49">
        <f>IFERROR(IF($A$12=0,0,(J6/$M$12-1)*ref_var!$F$2*$N$12),0)</f>
        <v>0</v>
      </c>
      <c r="V6" s="48">
        <f>(U6*ref_var!$F$12*ref_var!$F$13*(ref_var!$F$16-ref_var!$F$18))/1000000</f>
        <v>0</v>
      </c>
      <c r="W6" s="60">
        <f t="shared" ref="W6" si="4">W5</f>
        <v>0</v>
      </c>
      <c r="X6" s="49" t="e">
        <f>(Q6*(O6-O5)*S6)+(R6*(P6-P5)*T6)+(W6*(V6-V5))</f>
        <v>#N/A</v>
      </c>
      <c r="Y6" s="49" t="e">
        <f>(Q6*(O6-$O$4)*S6)+(R6*(P6-$P$4)*T6)+(W6*(V6-$V$4))</f>
        <v>#N/A</v>
      </c>
    </row>
    <row r="7" spans="1:25" x14ac:dyDescent="0.3">
      <c r="A7" s="35">
        <f t="shared" si="0"/>
        <v>2024</v>
      </c>
      <c r="B7" s="48">
        <f>('PTAS non-électrique - Régie'!Q10+'PTAS non-électrique - Contrat'!Q10)/1000000</f>
        <v>0</v>
      </c>
      <c r="C7" s="48">
        <f>('PTAS électrique - Régie'!Q10+'PTAS électrique - Contrat'!Q10+'PTAS - Métro'!Q10)/1000000</f>
        <v>0</v>
      </c>
      <c r="D7" s="49">
        <f>'PTAS non-électrique - Régie'!J18+'PTAS non-électrique - Contrat'!J18</f>
        <v>0</v>
      </c>
      <c r="E7" s="49">
        <f>'PTAS non-électrique - Régie'!J19+'PTAS non-électrique - Contrat'!J19</f>
        <v>0</v>
      </c>
      <c r="F7" s="49">
        <f>'PTAS électrique - Régie'!J18+'PTAS électrique - Contrat'!J18</f>
        <v>0</v>
      </c>
      <c r="G7" s="49">
        <f>'PTAS électrique - Régie'!J19+'PTAS électrique - Contrat'!J19</f>
        <v>0</v>
      </c>
      <c r="H7" s="60">
        <f t="shared" ref="H7:I7" si="5">H6</f>
        <v>0</v>
      </c>
      <c r="I7" s="60">
        <f t="shared" si="5"/>
        <v>0</v>
      </c>
      <c r="J7" s="49">
        <f>'PTAS - Train'!Q10/1000000</f>
        <v>0</v>
      </c>
      <c r="K7" s="60">
        <f t="shared" ref="K7" si="6">K6</f>
        <v>0</v>
      </c>
      <c r="M7" s="49" t="e">
        <f>IF($A$12=0,0,((B7+C7)/$B$12-1)*ref_var!$F$2*$C$16)+$J$12</f>
        <v>#N/A</v>
      </c>
      <c r="N7" s="60" t="e">
        <f>(E7+G7)-$F$16+$K$12</f>
        <v>#N/A</v>
      </c>
      <c r="O7" s="48" t="e">
        <f>(M7*ref_var!$F$12*ref_var!$F$13*(ref_var!$F$16-ref_var!$F$18))/1000000</f>
        <v>#N/A</v>
      </c>
      <c r="P7" s="48" t="e">
        <f>(N7*ref_var!$F$12*ref_var!$F$13*(ref_var!$F$16-ref_var!$F$17))/1000000</f>
        <v>#N/A</v>
      </c>
      <c r="Q7" s="60" t="e">
        <f t="shared" si="3"/>
        <v>#N/A</v>
      </c>
      <c r="R7" s="60">
        <f t="shared" si="3"/>
        <v>0</v>
      </c>
      <c r="S7" s="65">
        <f>IFERROR(MIN(0.65,0.5+0.15*C7/((B7+C7)-$B$12)),0)</f>
        <v>0</v>
      </c>
      <c r="T7" s="65">
        <f>IFERROR(MIN(0.65,0.5+0.15*G7/((E7+G7)-$F$16+$K$12)),0)</f>
        <v>0</v>
      </c>
      <c r="U7" s="49">
        <f>IFERROR(IF($A$12=0,0,(J7/$M$12-1)*ref_var!$F$2*$N$12),0)</f>
        <v>0</v>
      </c>
      <c r="V7" s="48">
        <f>(U7*ref_var!$F$12*ref_var!$F$13*(ref_var!$F$16-ref_var!$F$18))/1000000</f>
        <v>0</v>
      </c>
      <c r="W7" s="60">
        <f t="shared" ref="W7" si="7">W6</f>
        <v>0</v>
      </c>
      <c r="X7" s="49" t="e">
        <f>(Q7*(O7-O6)*S7)+(R7*(P7-P6)*T7)+(W7*(V7-V6))</f>
        <v>#N/A</v>
      </c>
      <c r="Y7" s="49" t="e">
        <f>(Q7*(O7-$O$4)*S7)+(R7*(P7-$P$4)*T7)+(W7*(V7-$V$4))</f>
        <v>#N/A</v>
      </c>
    </row>
    <row r="10" spans="1:25" x14ac:dyDescent="0.3">
      <c r="A10" s="55" t="s">
        <v>180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25" s="47" customFormat="1" ht="28.8" x14ac:dyDescent="0.3">
      <c r="A11" s="50" t="str">
        <f>ref_data!E2</f>
        <v>ANNEE
_TC</v>
      </c>
      <c r="B11" s="69" t="str">
        <f>ref_data!F2</f>
        <v>PL_KM (M)
_BASE</v>
      </c>
      <c r="C11" s="69" t="str">
        <f>ref_data!G2</f>
        <v>DEPLC
_BASE</v>
      </c>
      <c r="D11" s="50" t="str">
        <f>ref_data!H2</f>
        <v>ANNEE
_TA</v>
      </c>
      <c r="E11" s="70" t="str">
        <f>ref_data!I2</f>
        <v>COURS_TA
_BASE</v>
      </c>
      <c r="F11" s="70" t="str">
        <f>ref_data!J2</f>
        <v>DEPLC_TA
_BASE</v>
      </c>
      <c r="G11" s="69" t="str">
        <f>ref_data!K2</f>
        <v>MODLT ($)
_TC_2019</v>
      </c>
      <c r="H11" s="70" t="str">
        <f>ref_data!L2</f>
        <v>MODLT ($)
_TA_2019</v>
      </c>
      <c r="I11" s="50" t="str">
        <f>ref_data!M2</f>
        <v>ACHLN
_PAGTCP</v>
      </c>
      <c r="J11" s="69" t="str">
        <f>ref_data!N2</f>
        <v>AJU_DEPLC
_BASE</v>
      </c>
      <c r="K11" s="70" t="str">
        <f>ref_data!O2</f>
        <v>AJU_DEPLC
_TA_BASE</v>
      </c>
      <c r="L11" s="50" t="str">
        <f>ref_data!P2</f>
        <v>TAUX_
OPTMS</v>
      </c>
      <c r="M11" s="71" t="str">
        <f>ref_data!R2</f>
        <v>PL_KM (M)
_TR_BASE</v>
      </c>
      <c r="N11" s="71" t="str">
        <f>ref_data!S2</f>
        <v>DEPLC
_TR_BASE</v>
      </c>
      <c r="O11" s="71" t="str">
        <f>ref_data!T2</f>
        <v>MODLT ($)
_TR_2019</v>
      </c>
    </row>
    <row r="12" spans="1:25" x14ac:dyDescent="0.3">
      <c r="A12" s="35" t="e">
        <f>VLOOKUP($B$2,ref_data!$C$3:$T$48,3,FALSE)</f>
        <v>#N/A</v>
      </c>
      <c r="B12" s="48" t="e">
        <f>VLOOKUP($B$2,ref_data!$C$3:$T$48,4,FALSE)</f>
        <v>#N/A</v>
      </c>
      <c r="C12" s="49" t="e">
        <f>VLOOKUP($B$2,ref_data!$C$3:$T$48,5,FALSE)</f>
        <v>#N/A</v>
      </c>
      <c r="D12" s="35" t="e">
        <f>VLOOKUP($B$2,ref_data!$C$3:$T$48,6,FALSE)</f>
        <v>#N/A</v>
      </c>
      <c r="E12" s="49" t="e">
        <f>VLOOKUP($B$2,ref_data!$C$3:$T$48,7,FALSE)</f>
        <v>#N/A</v>
      </c>
      <c r="F12" s="49" t="e">
        <f>VLOOKUP($B$2,ref_data!$C$3:$T$48,8,FALSE)</f>
        <v>#N/A</v>
      </c>
      <c r="G12" s="49" t="e">
        <f>VLOOKUP($B$2,ref_data!$C$3:$T$48,9,FALSE)</f>
        <v>#N/A</v>
      </c>
      <c r="H12" s="49" t="e">
        <f>VLOOKUP($B$2,ref_data!$C$3:$T$48,10,FALSE)</f>
        <v>#N/A</v>
      </c>
      <c r="I12" s="49" t="e">
        <f>VLOOKUP($B$2,ref_data!$C$3:$T$48,11,FALSE)</f>
        <v>#N/A</v>
      </c>
      <c r="J12" s="49" t="e">
        <f>VLOOKUP($B$2,ref_data!$C$3:$T$48,12,FALSE)</f>
        <v>#N/A</v>
      </c>
      <c r="K12" s="49" t="e">
        <f>VLOOKUP($B$2,ref_data!$C$3:$T$48,13,FALSE)</f>
        <v>#N/A</v>
      </c>
      <c r="L12" s="48" t="e">
        <f>VLOOKUP($B$2,ref_data!$C$3:$T$48,14,FALSE)</f>
        <v>#N/A</v>
      </c>
      <c r="M12" s="49" t="e">
        <f>VLOOKUP($B$2,ref_data!$C$3:$T$48,16,FALSE)</f>
        <v>#N/A</v>
      </c>
      <c r="N12" s="49" t="e">
        <f>VLOOKUP($B$2,ref_data!$C$3:$T$48,17,FALSE)</f>
        <v>#N/A</v>
      </c>
      <c r="O12" s="49" t="e">
        <f>VLOOKUP($B$2,ref_data!$C$3:$T$48,18,FALSE)</f>
        <v>#N/A</v>
      </c>
    </row>
    <row r="14" spans="1:25" x14ac:dyDescent="0.3">
      <c r="A14" s="59" t="s">
        <v>188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pans="1:25" ht="28.8" x14ac:dyDescent="0.3">
      <c r="C15" s="47" t="s">
        <v>187</v>
      </c>
      <c r="F15" s="47" t="s">
        <v>189</v>
      </c>
      <c r="I15" s="47" t="s">
        <v>312</v>
      </c>
    </row>
    <row r="16" spans="1:25" x14ac:dyDescent="0.3">
      <c r="C16" s="49" t="e">
        <f>IF(C12=0,0,IF(C12-F16&lt;0,C12,C12-F16))</f>
        <v>#N/A</v>
      </c>
      <c r="F16" s="49" t="e">
        <f>IF(D12=0,0,IF(F12=0,(E4+G4)/(D4+F4)*E12,F12))</f>
        <v>#N/A</v>
      </c>
      <c r="I16" s="49" t="e">
        <f>G12/((C12*ref_var!$F$12*ref_var!$F$13*(ref_var!$F$16-ref_var!$F$18))/1000000)</f>
        <v>#N/A</v>
      </c>
    </row>
    <row r="19" spans="2:11" x14ac:dyDescent="0.3">
      <c r="B19" s="37" t="s">
        <v>5</v>
      </c>
    </row>
    <row r="20" spans="2:11" x14ac:dyDescent="0.3">
      <c r="B20" s="73" t="s">
        <v>84</v>
      </c>
      <c r="I20" s="35" t="s">
        <v>309</v>
      </c>
      <c r="J20" s="35" t="s">
        <v>310</v>
      </c>
      <c r="K20" t="s">
        <v>313</v>
      </c>
    </row>
    <row r="21" spans="2:11" x14ac:dyDescent="0.3">
      <c r="B21" s="72" t="s">
        <v>214</v>
      </c>
      <c r="F21" s="49"/>
      <c r="G21" t="s">
        <v>301</v>
      </c>
      <c r="H21" s="49">
        <f>H4</f>
        <v>0</v>
      </c>
      <c r="I21" s="49">
        <v>272701.65999999997</v>
      </c>
      <c r="J21" s="49">
        <v>272701.65999999997</v>
      </c>
      <c r="K21" s="49">
        <v>272701.65999999997</v>
      </c>
    </row>
    <row r="22" spans="2:11" x14ac:dyDescent="0.3">
      <c r="G22" t="s">
        <v>302</v>
      </c>
      <c r="H22" s="48">
        <f>B4+C4</f>
        <v>0</v>
      </c>
      <c r="I22" s="48">
        <v>0</v>
      </c>
      <c r="J22" s="48">
        <v>4.1529150000000001</v>
      </c>
    </row>
    <row r="23" spans="2:11" x14ac:dyDescent="0.3">
      <c r="G23" t="s">
        <v>303</v>
      </c>
      <c r="H23" s="48" t="e">
        <f>B12</f>
        <v>#N/A</v>
      </c>
      <c r="I23" s="48">
        <v>4.1529150000000001</v>
      </c>
      <c r="J23" s="48">
        <v>4.1529150000000001</v>
      </c>
    </row>
    <row r="24" spans="2:11" x14ac:dyDescent="0.3">
      <c r="G24" t="s">
        <v>305</v>
      </c>
      <c r="H24" s="49" t="e">
        <f>C16</f>
        <v>#N/A</v>
      </c>
      <c r="I24">
        <v>35000</v>
      </c>
      <c r="J24">
        <v>35000</v>
      </c>
      <c r="K24">
        <v>35000</v>
      </c>
    </row>
    <row r="25" spans="2:11" x14ac:dyDescent="0.3">
      <c r="G25" t="s">
        <v>304</v>
      </c>
      <c r="H25">
        <f>ref_var!$F$2</f>
        <v>0.5</v>
      </c>
      <c r="I25">
        <v>0.5</v>
      </c>
      <c r="J25">
        <v>0.5</v>
      </c>
      <c r="K25">
        <v>0.5</v>
      </c>
    </row>
    <row r="26" spans="2:11" x14ac:dyDescent="0.3">
      <c r="G26" t="s">
        <v>306</v>
      </c>
      <c r="H26">
        <f>ref_var!$F$12</f>
        <v>0.80175555555555555</v>
      </c>
      <c r="I26">
        <v>0.80175555555555555</v>
      </c>
      <c r="J26">
        <v>0.80175555555555555</v>
      </c>
      <c r="K26">
        <v>0.80175555555555555</v>
      </c>
    </row>
    <row r="27" spans="2:11" x14ac:dyDescent="0.3">
      <c r="G27" t="s">
        <v>307</v>
      </c>
      <c r="H27">
        <f>ref_var!$F$13</f>
        <v>11.3</v>
      </c>
      <c r="I27">
        <v>11.3</v>
      </c>
      <c r="J27">
        <v>11.3</v>
      </c>
      <c r="K27">
        <v>11.3</v>
      </c>
    </row>
    <row r="28" spans="2:11" x14ac:dyDescent="0.3">
      <c r="G28" t="s">
        <v>308</v>
      </c>
      <c r="H28">
        <f>ref_var!$F$16-ref_var!$F$18</f>
        <v>111.19187062211984</v>
      </c>
      <c r="I28">
        <v>111.19187062211984</v>
      </c>
      <c r="J28">
        <v>111.19187062211984</v>
      </c>
      <c r="K28">
        <v>111.19187062211984</v>
      </c>
    </row>
    <row r="29" spans="2:11" x14ac:dyDescent="0.3">
      <c r="F29" t="s">
        <v>260</v>
      </c>
    </row>
    <row r="30" spans="2:11" x14ac:dyDescent="0.3">
      <c r="F30" s="137">
        <v>7734.3937759307792</v>
      </c>
      <c r="G30" t="s">
        <v>311</v>
      </c>
      <c r="I30" s="137" t="e">
        <f>I21/I22*(I22-I23)/(((I22/I23-1)*I25*I24)*I26*I27*I28/1000000)</f>
        <v>#DIV/0!</v>
      </c>
      <c r="J30" s="137" t="e">
        <f>J21/J22*(J22-J23)/(((J22/J23-1)*J25*J24)*J26*J27*J28/1000000)</f>
        <v>#DIV/0!</v>
      </c>
      <c r="K30" s="137">
        <f>K21/((K24*K26*K27*K28)/1000000)</f>
        <v>7734.3937759307792</v>
      </c>
    </row>
  </sheetData>
  <conditionalFormatting sqref="A12 D12">
    <cfRule type="cellIs" dxfId="0" priority="1" operator="greaterThan">
      <formula>2006</formula>
    </cfRule>
  </conditionalFormatting>
  <pageMargins left="0.7" right="0.7" top="0.75" bottom="0.75" header="0.3" footer="0.3"/>
  <pageSetup orientation="portrait" r:id="rId1"/>
  <ignoredErrors>
    <ignoredError sqref="J5:J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B1:S74"/>
  <sheetViews>
    <sheetView showGridLines="0" tabSelected="1" zoomScaleNormal="100" workbookViewId="0">
      <selection activeCell="H12" sqref="H12"/>
    </sheetView>
  </sheetViews>
  <sheetFormatPr baseColWidth="10" defaultColWidth="11.44140625" defaultRowHeight="14.4" x14ac:dyDescent="0.3"/>
  <cols>
    <col min="1" max="2" width="1.6640625" style="4" customWidth="1"/>
    <col min="3" max="3" width="42.6640625" style="4" customWidth="1"/>
    <col min="4" max="4" width="11.5546875" style="4" hidden="1" customWidth="1"/>
    <col min="5" max="5" width="11.5546875" style="15" hidden="1" customWidth="1"/>
    <col min="6" max="7" width="11.5546875" style="4" hidden="1" customWidth="1"/>
    <col min="8" max="11" width="11.5546875" style="4" customWidth="1"/>
    <col min="12" max="12" width="1.6640625" style="4" customWidth="1"/>
    <col min="13" max="13" width="11.44140625" style="4"/>
    <col min="14" max="17" width="0" style="83" hidden="1" customWidth="1"/>
    <col min="18" max="16384" width="11.44140625" style="4"/>
  </cols>
  <sheetData>
    <row r="1" spans="2:17" s="126" customFormat="1" ht="18" x14ac:dyDescent="0.3">
      <c r="B1" s="145" t="s">
        <v>23</v>
      </c>
      <c r="C1" s="145"/>
      <c r="D1" s="145"/>
      <c r="E1" s="145"/>
      <c r="F1" s="145"/>
      <c r="G1" s="145"/>
      <c r="H1" s="145"/>
      <c r="I1" s="145"/>
      <c r="J1" s="145"/>
      <c r="K1" s="145"/>
      <c r="N1" s="128"/>
      <c r="O1" s="128"/>
      <c r="P1" s="128"/>
      <c r="Q1" s="128"/>
    </row>
    <row r="2" spans="2:17" ht="15.6" x14ac:dyDescent="0.3">
      <c r="B2" s="146" t="s">
        <v>40</v>
      </c>
      <c r="C2" s="146"/>
      <c r="D2" s="146"/>
      <c r="E2" s="146"/>
      <c r="F2" s="146"/>
      <c r="G2" s="146"/>
      <c r="H2" s="146"/>
      <c r="I2" s="146"/>
      <c r="J2" s="146"/>
      <c r="K2" s="146"/>
    </row>
    <row r="3" spans="2:17" ht="8.25" customHeight="1" x14ac:dyDescent="0.3">
      <c r="B3" s="6"/>
      <c r="C3" s="6"/>
      <c r="D3" s="6"/>
      <c r="E3" s="6"/>
      <c r="F3" s="6"/>
      <c r="G3" s="6"/>
      <c r="H3" s="6"/>
      <c r="I3" s="6"/>
      <c r="J3" s="6"/>
      <c r="K3" s="6"/>
    </row>
    <row r="4" spans="2:17" ht="15.6" x14ac:dyDescent="0.3">
      <c r="B4" s="147" t="s">
        <v>274</v>
      </c>
      <c r="C4" s="147"/>
      <c r="D4" s="147"/>
      <c r="E4" s="147"/>
      <c r="F4" s="147"/>
      <c r="G4" s="147"/>
      <c r="H4" s="147"/>
      <c r="I4" s="147"/>
      <c r="J4" s="147"/>
      <c r="K4" s="147"/>
    </row>
    <row r="5" spans="2:17" ht="15.6" x14ac:dyDescent="0.3">
      <c r="B5" s="6"/>
      <c r="C5" s="6"/>
      <c r="D5" s="6"/>
      <c r="E5" s="6"/>
      <c r="F5" s="6"/>
      <c r="G5" s="6"/>
      <c r="H5" s="6"/>
      <c r="I5" s="6"/>
      <c r="J5" s="6"/>
      <c r="K5" s="6"/>
    </row>
    <row r="6" spans="2:17" ht="15.6" x14ac:dyDescent="0.3">
      <c r="B6" s="6" t="s">
        <v>41</v>
      </c>
      <c r="C6" s="6"/>
      <c r="D6" s="149" t="str">
        <f>ref_var!$F$28</f>
        <v>Veuillez consulter l'onglet Instructions.</v>
      </c>
      <c r="E6" s="149"/>
      <c r="F6" s="149"/>
      <c r="G6" s="149"/>
      <c r="H6" s="149"/>
      <c r="I6" s="149"/>
      <c r="J6" s="149"/>
      <c r="K6" s="149"/>
    </row>
    <row r="8" spans="2:17" ht="30" customHeight="1" x14ac:dyDescent="0.3">
      <c r="B8" s="152" t="s">
        <v>317</v>
      </c>
      <c r="C8" s="153"/>
      <c r="D8" s="150">
        <f>ref_ges!A4</f>
        <v>2021</v>
      </c>
      <c r="E8" s="151"/>
      <c r="F8" s="150">
        <f>ref_ges!A5</f>
        <v>2022</v>
      </c>
      <c r="G8" s="151"/>
      <c r="H8" s="150">
        <f>ref_ges!A6</f>
        <v>2023</v>
      </c>
      <c r="I8" s="151"/>
      <c r="J8" s="150">
        <f>ref_ges!A7</f>
        <v>2024</v>
      </c>
      <c r="K8" s="151"/>
      <c r="N8" s="83">
        <f>ref_ges!A4</f>
        <v>2021</v>
      </c>
      <c r="O8" s="83">
        <f>ref_ges!A5</f>
        <v>2022</v>
      </c>
      <c r="P8" s="83">
        <f>ref_ges!A6</f>
        <v>2023</v>
      </c>
      <c r="Q8" s="83">
        <f>ref_ges!A7</f>
        <v>2024</v>
      </c>
    </row>
    <row r="9" spans="2:17" x14ac:dyDescent="0.3">
      <c r="B9" s="159" t="s">
        <v>218</v>
      </c>
      <c r="C9" s="160"/>
      <c r="D9" s="154"/>
      <c r="E9" s="155"/>
      <c r="F9" s="154"/>
      <c r="G9" s="155"/>
      <c r="H9" s="154"/>
      <c r="I9" s="155"/>
      <c r="J9" s="154"/>
      <c r="K9" s="155"/>
    </row>
    <row r="10" spans="2:17" ht="27.6" x14ac:dyDescent="0.3">
      <c r="B10" s="161" t="s">
        <v>21</v>
      </c>
      <c r="C10" s="162"/>
      <c r="D10" s="19" t="s">
        <v>9</v>
      </c>
      <c r="E10" s="19" t="s">
        <v>24</v>
      </c>
      <c r="F10" s="19" t="s">
        <v>9</v>
      </c>
      <c r="G10" s="19" t="s">
        <v>24</v>
      </c>
      <c r="H10" s="19" t="s">
        <v>9</v>
      </c>
      <c r="I10" s="19" t="s">
        <v>24</v>
      </c>
      <c r="J10" s="19" t="s">
        <v>9</v>
      </c>
      <c r="K10" s="19" t="s">
        <v>24</v>
      </c>
      <c r="N10" s="83">
        <f>N26+N33+N40+N47+N54+N61+N69</f>
        <v>0</v>
      </c>
      <c r="O10" s="83">
        <f t="shared" ref="O10:Q10" si="0">O26+O33+O40+O47+O54+O61+O69</f>
        <v>0</v>
      </c>
      <c r="P10" s="83">
        <f t="shared" si="0"/>
        <v>0</v>
      </c>
      <c r="Q10" s="83">
        <f t="shared" si="0"/>
        <v>0</v>
      </c>
    </row>
    <row r="11" spans="2:17" x14ac:dyDescent="0.3">
      <c r="B11" s="156" t="s">
        <v>0</v>
      </c>
      <c r="C11" s="157"/>
      <c r="D11" s="157"/>
      <c r="E11" s="157"/>
      <c r="F11" s="157"/>
      <c r="G11" s="157"/>
      <c r="H11" s="157"/>
      <c r="I11" s="157"/>
      <c r="J11" s="157"/>
      <c r="K11" s="158"/>
      <c r="N11" s="83" t="s">
        <v>224</v>
      </c>
      <c r="O11" s="83" t="s">
        <v>224</v>
      </c>
      <c r="P11" s="83" t="s">
        <v>224</v>
      </c>
      <c r="Q11" s="83" t="s">
        <v>224</v>
      </c>
    </row>
    <row r="12" spans="2:17" s="23" customFormat="1" x14ac:dyDescent="0.3">
      <c r="B12" s="8"/>
      <c r="C12" s="9" t="s">
        <v>22</v>
      </c>
      <c r="D12" s="1"/>
      <c r="E12" s="1"/>
      <c r="F12" s="1"/>
      <c r="G12" s="1"/>
      <c r="H12" s="1"/>
      <c r="I12" s="1"/>
      <c r="J12" s="1"/>
      <c r="K12" s="1"/>
      <c r="N12" s="83"/>
      <c r="O12" s="83"/>
      <c r="P12" s="83"/>
      <c r="Q12" s="83"/>
    </row>
    <row r="13" spans="2:17" s="23" customFormat="1" x14ac:dyDescent="0.3">
      <c r="B13" s="10"/>
      <c r="C13" s="11" t="s">
        <v>1</v>
      </c>
      <c r="D13" s="18"/>
      <c r="E13" s="2"/>
      <c r="F13" s="2"/>
      <c r="G13" s="2"/>
      <c r="H13" s="2"/>
      <c r="I13" s="2"/>
      <c r="J13" s="2"/>
      <c r="K13" s="2"/>
      <c r="N13" s="83"/>
      <c r="O13" s="83"/>
      <c r="P13" s="83"/>
      <c r="Q13" s="83"/>
    </row>
    <row r="14" spans="2:17" x14ac:dyDescent="0.3">
      <c r="B14" s="10"/>
      <c r="C14" s="11" t="s">
        <v>25</v>
      </c>
      <c r="D14" s="18"/>
      <c r="E14" s="2"/>
      <c r="F14" s="2"/>
      <c r="G14" s="2"/>
      <c r="H14" s="2"/>
      <c r="I14" s="2"/>
      <c r="J14" s="2"/>
      <c r="K14" s="2"/>
    </row>
    <row r="15" spans="2:17" x14ac:dyDescent="0.3">
      <c r="B15" s="10"/>
      <c r="C15" s="11" t="s">
        <v>275</v>
      </c>
      <c r="D15" s="2"/>
      <c r="E15" s="2"/>
      <c r="F15" s="2"/>
      <c r="G15" s="2"/>
      <c r="H15" s="2"/>
      <c r="I15" s="2"/>
      <c r="J15" s="2"/>
      <c r="K15" s="2"/>
    </row>
    <row r="16" spans="2:17" x14ac:dyDescent="0.3">
      <c r="B16" s="10"/>
      <c r="C16" s="11" t="s">
        <v>2</v>
      </c>
      <c r="D16" s="2"/>
      <c r="E16" s="2"/>
      <c r="F16" s="2"/>
      <c r="G16" s="2"/>
      <c r="H16" s="2"/>
      <c r="I16" s="2"/>
      <c r="J16" s="2"/>
      <c r="K16" s="2"/>
    </row>
    <row r="17" spans="2:19" x14ac:dyDescent="0.3">
      <c r="B17" s="10"/>
      <c r="C17" s="11" t="s">
        <v>276</v>
      </c>
      <c r="D17" s="2"/>
      <c r="E17" s="2"/>
      <c r="F17" s="2"/>
      <c r="G17" s="24"/>
      <c r="H17" s="2"/>
      <c r="I17" s="2"/>
      <c r="J17" s="2"/>
      <c r="K17" s="2"/>
    </row>
    <row r="18" spans="2:19" x14ac:dyDescent="0.3">
      <c r="B18" s="10"/>
      <c r="C18" s="11" t="s">
        <v>221</v>
      </c>
      <c r="D18" s="2"/>
      <c r="E18" s="2"/>
      <c r="F18" s="2"/>
      <c r="G18" s="2"/>
      <c r="H18" s="2"/>
      <c r="I18" s="2"/>
      <c r="J18" s="2"/>
      <c r="K18" s="2"/>
      <c r="N18" s="84" t="s">
        <v>225</v>
      </c>
      <c r="O18" s="84" t="s">
        <v>225</v>
      </c>
      <c r="P18" s="84" t="s">
        <v>225</v>
      </c>
      <c r="Q18" s="84" t="s">
        <v>225</v>
      </c>
    </row>
    <row r="19" spans="2:19" x14ac:dyDescent="0.3">
      <c r="B19" s="12"/>
      <c r="C19" s="13" t="s">
        <v>222</v>
      </c>
      <c r="D19" s="3"/>
      <c r="E19" s="3"/>
      <c r="F19" s="3"/>
      <c r="G19" s="3"/>
      <c r="H19" s="3"/>
      <c r="I19" s="3"/>
      <c r="J19" s="3"/>
      <c r="K19" s="3"/>
      <c r="N19" s="84" t="s">
        <v>225</v>
      </c>
      <c r="O19" s="84" t="s">
        <v>225</v>
      </c>
      <c r="P19" s="84" t="s">
        <v>225</v>
      </c>
      <c r="Q19" s="84" t="s">
        <v>225</v>
      </c>
    </row>
    <row r="20" spans="2:19" x14ac:dyDescent="0.3">
      <c r="B20" s="156" t="s">
        <v>3</v>
      </c>
      <c r="C20" s="157"/>
      <c r="D20" s="157"/>
      <c r="E20" s="157"/>
      <c r="F20" s="157"/>
      <c r="G20" s="157"/>
      <c r="H20" s="157"/>
      <c r="I20" s="157"/>
      <c r="J20" s="157"/>
      <c r="K20" s="158"/>
      <c r="N20" s="86">
        <f>VLOOKUP($B20,ref_var!$A$2:$B$6,2,FALSE)</f>
        <v>35</v>
      </c>
      <c r="O20" s="86">
        <f>VLOOKUP($B20,ref_var!$A$2:$B$6,2,FALSE)</f>
        <v>35</v>
      </c>
      <c r="P20" s="86">
        <f>VLOOKUP($B20,ref_var!$A$2:$B$6,2,FALSE)</f>
        <v>35</v>
      </c>
      <c r="Q20" s="86">
        <f>VLOOKUP($B20,ref_var!$A$2:$B$6,2,FALSE)</f>
        <v>35</v>
      </c>
    </row>
    <row r="21" spans="2:19" s="23" customFormat="1" x14ac:dyDescent="0.3">
      <c r="B21" s="10"/>
      <c r="C21" s="11" t="s">
        <v>1</v>
      </c>
      <c r="D21" s="2"/>
      <c r="E21" s="2"/>
      <c r="F21" s="2"/>
      <c r="G21" s="2"/>
      <c r="H21" s="2"/>
      <c r="I21" s="2"/>
      <c r="J21" s="2"/>
      <c r="K21" s="2"/>
      <c r="N21" s="83"/>
      <c r="O21" s="83"/>
      <c r="P21" s="83"/>
      <c r="Q21" s="83"/>
    </row>
    <row r="22" spans="2:19" x14ac:dyDescent="0.3">
      <c r="B22" s="10"/>
      <c r="C22" s="11" t="s">
        <v>26</v>
      </c>
      <c r="D22" s="2"/>
      <c r="E22" s="2"/>
      <c r="F22" s="2"/>
      <c r="G22" s="2"/>
      <c r="H22" s="2"/>
      <c r="I22" s="2"/>
      <c r="J22" s="2"/>
      <c r="K22" s="2"/>
    </row>
    <row r="23" spans="2:19" x14ac:dyDescent="0.3">
      <c r="B23" s="10"/>
      <c r="C23" s="11" t="s">
        <v>25</v>
      </c>
      <c r="D23" s="2"/>
      <c r="E23" s="2"/>
      <c r="F23" s="2"/>
      <c r="G23" s="2"/>
      <c r="H23" s="2"/>
      <c r="I23" s="2"/>
      <c r="J23" s="2"/>
      <c r="K23" s="2"/>
    </row>
    <row r="24" spans="2:19" x14ac:dyDescent="0.3">
      <c r="B24" s="10"/>
      <c r="C24" s="11" t="s">
        <v>275</v>
      </c>
      <c r="D24" s="2"/>
      <c r="E24" s="2"/>
      <c r="F24" s="2"/>
      <c r="G24" s="2"/>
      <c r="H24" s="2"/>
      <c r="I24" s="2"/>
      <c r="J24" s="2"/>
      <c r="K24" s="2"/>
    </row>
    <row r="25" spans="2:19" x14ac:dyDescent="0.3">
      <c r="B25" s="10"/>
      <c r="C25" s="11" t="s">
        <v>2</v>
      </c>
      <c r="D25" s="2"/>
      <c r="E25" s="2"/>
      <c r="F25" s="2"/>
      <c r="G25" s="2"/>
      <c r="H25" s="2"/>
      <c r="I25" s="2"/>
      <c r="J25" s="2"/>
      <c r="K25" s="2"/>
    </row>
    <row r="26" spans="2:19" x14ac:dyDescent="0.3">
      <c r="B26" s="12"/>
      <c r="C26" s="13" t="s">
        <v>277</v>
      </c>
      <c r="D26" s="3"/>
      <c r="E26" s="3"/>
      <c r="F26" s="3"/>
      <c r="G26" s="3"/>
      <c r="H26" s="3"/>
      <c r="I26" s="3"/>
      <c r="J26" s="3"/>
      <c r="K26" s="3"/>
      <c r="N26" s="83">
        <f>D26*N20</f>
        <v>0</v>
      </c>
      <c r="O26" s="83">
        <f>F26*O20</f>
        <v>0</v>
      </c>
      <c r="P26" s="83">
        <f>H26*P20</f>
        <v>0</v>
      </c>
      <c r="Q26" s="83">
        <f>J26*Q20</f>
        <v>0</v>
      </c>
    </row>
    <row r="27" spans="2:19" x14ac:dyDescent="0.3">
      <c r="B27" s="156" t="s">
        <v>4</v>
      </c>
      <c r="C27" s="157"/>
      <c r="D27" s="157"/>
      <c r="E27" s="157"/>
      <c r="F27" s="157"/>
      <c r="G27" s="157"/>
      <c r="H27" s="157"/>
      <c r="I27" s="157"/>
      <c r="J27" s="157"/>
      <c r="K27" s="158"/>
      <c r="N27" s="86">
        <f>VLOOKUP($B27,ref_var!$A$2:$B$6,2,FALSE)</f>
        <v>45</v>
      </c>
      <c r="O27" s="86">
        <f>VLOOKUP($B27,ref_var!$A$2:$B$6,2,FALSE)</f>
        <v>45</v>
      </c>
      <c r="P27" s="86">
        <f>VLOOKUP($B27,ref_var!$A$2:$B$6,2,FALSE)</f>
        <v>45</v>
      </c>
      <c r="Q27" s="86">
        <f>VLOOKUP($B27,ref_var!$A$2:$B$6,2,FALSE)</f>
        <v>45</v>
      </c>
    </row>
    <row r="28" spans="2:19" s="23" customFormat="1" x14ac:dyDescent="0.3">
      <c r="B28" s="10"/>
      <c r="C28" s="11" t="s">
        <v>1</v>
      </c>
      <c r="D28" s="2"/>
      <c r="E28" s="2"/>
      <c r="F28" s="2"/>
      <c r="G28" s="2"/>
      <c r="H28" s="2"/>
      <c r="I28" s="2"/>
      <c r="J28" s="2"/>
      <c r="K28" s="2"/>
      <c r="N28" s="83"/>
      <c r="O28" s="83"/>
      <c r="P28" s="83"/>
      <c r="Q28" s="83"/>
    </row>
    <row r="29" spans="2:19" x14ac:dyDescent="0.3">
      <c r="B29" s="10"/>
      <c r="C29" s="11" t="s">
        <v>26</v>
      </c>
      <c r="D29" s="2"/>
      <c r="E29" s="2"/>
      <c r="F29" s="2"/>
      <c r="G29" s="2"/>
      <c r="H29" s="2"/>
      <c r="I29" s="2"/>
      <c r="J29" s="2"/>
      <c r="K29" s="2"/>
    </row>
    <row r="30" spans="2:19" x14ac:dyDescent="0.3">
      <c r="B30" s="10"/>
      <c r="C30" s="11" t="s">
        <v>25</v>
      </c>
      <c r="D30" s="2"/>
      <c r="E30" s="2"/>
      <c r="F30" s="2"/>
      <c r="G30" s="2"/>
      <c r="H30" s="2"/>
      <c r="I30" s="2"/>
      <c r="J30" s="2"/>
      <c r="K30" s="2"/>
    </row>
    <row r="31" spans="2:19" x14ac:dyDescent="0.3">
      <c r="B31" s="10"/>
      <c r="C31" s="11" t="s">
        <v>275</v>
      </c>
      <c r="D31" s="2"/>
      <c r="E31" s="2"/>
      <c r="F31" s="2"/>
      <c r="G31" s="2"/>
      <c r="H31" s="2"/>
      <c r="I31" s="2"/>
      <c r="J31" s="2"/>
      <c r="K31" s="2"/>
    </row>
    <row r="32" spans="2:19" x14ac:dyDescent="0.3">
      <c r="B32" s="10"/>
      <c r="C32" s="11" t="s">
        <v>2</v>
      </c>
      <c r="D32" s="2"/>
      <c r="E32" s="2"/>
      <c r="F32" s="2"/>
      <c r="G32" s="2"/>
      <c r="H32" s="2"/>
      <c r="I32" s="2"/>
      <c r="J32" s="2"/>
      <c r="K32" s="2"/>
      <c r="S32" s="88"/>
    </row>
    <row r="33" spans="2:17" x14ac:dyDescent="0.3">
      <c r="B33" s="12"/>
      <c r="C33" s="13" t="s">
        <v>277</v>
      </c>
      <c r="D33" s="3"/>
      <c r="E33" s="3"/>
      <c r="F33" s="3"/>
      <c r="G33" s="3"/>
      <c r="H33" s="3"/>
      <c r="I33" s="3"/>
      <c r="J33" s="3"/>
      <c r="K33" s="3"/>
      <c r="N33" s="83">
        <f>D33*N27</f>
        <v>0</v>
      </c>
      <c r="O33" s="83">
        <f>F33*O27</f>
        <v>0</v>
      </c>
      <c r="P33" s="83">
        <f>H33*P27</f>
        <v>0</v>
      </c>
      <c r="Q33" s="83">
        <f>J33*Q27</f>
        <v>0</v>
      </c>
    </row>
    <row r="34" spans="2:17" x14ac:dyDescent="0.3">
      <c r="B34" s="156" t="s">
        <v>5</v>
      </c>
      <c r="C34" s="157"/>
      <c r="D34" s="157"/>
      <c r="E34" s="157"/>
      <c r="F34" s="157"/>
      <c r="G34" s="157"/>
      <c r="H34" s="157"/>
      <c r="I34" s="157"/>
      <c r="J34" s="157"/>
      <c r="K34" s="158"/>
      <c r="N34" s="86">
        <f>VLOOKUP($B34,ref_var!$A$2:$B$6,2,FALSE)</f>
        <v>65</v>
      </c>
      <c r="O34" s="86">
        <f>VLOOKUP($B34,ref_var!$A$2:$B$6,2,FALSE)</f>
        <v>65</v>
      </c>
      <c r="P34" s="86">
        <f>VLOOKUP($B34,ref_var!$A$2:$B$6,2,FALSE)</f>
        <v>65</v>
      </c>
      <c r="Q34" s="86">
        <f>VLOOKUP($B34,ref_var!$A$2:$B$6,2,FALSE)</f>
        <v>65</v>
      </c>
    </row>
    <row r="35" spans="2:17" s="23" customFormat="1" x14ac:dyDescent="0.3">
      <c r="B35" s="10"/>
      <c r="C35" s="11" t="s">
        <v>1</v>
      </c>
      <c r="D35" s="2"/>
      <c r="E35" s="2"/>
      <c r="F35" s="2"/>
      <c r="G35" s="2"/>
      <c r="H35" s="2"/>
      <c r="I35" s="2"/>
      <c r="J35" s="2"/>
      <c r="K35" s="2"/>
      <c r="N35" s="83"/>
      <c r="O35" s="83"/>
      <c r="P35" s="83"/>
      <c r="Q35" s="83"/>
    </row>
    <row r="36" spans="2:17" x14ac:dyDescent="0.3">
      <c r="B36" s="10"/>
      <c r="C36" s="11" t="s">
        <v>26</v>
      </c>
      <c r="D36" s="2"/>
      <c r="E36" s="2"/>
      <c r="F36" s="2"/>
      <c r="G36" s="2"/>
      <c r="H36" s="2"/>
      <c r="I36" s="2"/>
      <c r="J36" s="2"/>
      <c r="K36" s="2"/>
    </row>
    <row r="37" spans="2:17" x14ac:dyDescent="0.3">
      <c r="B37" s="10"/>
      <c r="C37" s="11" t="s">
        <v>25</v>
      </c>
      <c r="D37" s="2"/>
      <c r="E37" s="2"/>
      <c r="F37" s="2"/>
      <c r="G37" s="2"/>
      <c r="H37" s="2"/>
      <c r="I37" s="2"/>
      <c r="J37" s="2"/>
      <c r="K37" s="2"/>
    </row>
    <row r="38" spans="2:17" x14ac:dyDescent="0.3">
      <c r="B38" s="10"/>
      <c r="C38" s="11" t="s">
        <v>275</v>
      </c>
      <c r="D38" s="2"/>
      <c r="E38" s="2"/>
      <c r="F38" s="2"/>
      <c r="G38" s="2"/>
      <c r="H38" s="2"/>
      <c r="I38" s="2"/>
      <c r="J38" s="2"/>
      <c r="K38" s="2"/>
    </row>
    <row r="39" spans="2:17" x14ac:dyDescent="0.3">
      <c r="B39" s="10"/>
      <c r="C39" s="11" t="s">
        <v>2</v>
      </c>
      <c r="D39" s="2"/>
      <c r="E39" s="2"/>
      <c r="F39" s="2"/>
      <c r="G39" s="2"/>
      <c r="H39" s="2"/>
      <c r="I39" s="2"/>
      <c r="J39" s="2"/>
      <c r="K39" s="2"/>
    </row>
    <row r="40" spans="2:17" x14ac:dyDescent="0.3">
      <c r="B40" s="12"/>
      <c r="C40" s="13" t="s">
        <v>277</v>
      </c>
      <c r="D40" s="3"/>
      <c r="E40" s="3"/>
      <c r="F40" s="3"/>
      <c r="G40" s="3"/>
      <c r="H40" s="3"/>
      <c r="I40" s="3"/>
      <c r="J40" s="3"/>
      <c r="K40" s="3"/>
      <c r="N40" s="83">
        <f>D40*N34</f>
        <v>0</v>
      </c>
      <c r="O40" s="83">
        <f>F40*O34</f>
        <v>0</v>
      </c>
      <c r="P40" s="83">
        <f>H40*P34</f>
        <v>0</v>
      </c>
      <c r="Q40" s="83">
        <f>J40*Q34</f>
        <v>0</v>
      </c>
    </row>
    <row r="41" spans="2:17" s="15" customFormat="1" x14ac:dyDescent="0.3">
      <c r="B41" s="156" t="s">
        <v>10</v>
      </c>
      <c r="C41" s="157"/>
      <c r="D41" s="157"/>
      <c r="E41" s="157"/>
      <c r="F41" s="157"/>
      <c r="G41" s="157"/>
      <c r="H41" s="157"/>
      <c r="I41" s="157"/>
      <c r="J41" s="157"/>
      <c r="K41" s="158"/>
      <c r="N41" s="86">
        <f>VLOOKUP($B41,ref_var!$A$2:$B$6,2,FALSE)</f>
        <v>104</v>
      </c>
      <c r="O41" s="86">
        <f>VLOOKUP($B41,ref_var!$A$2:$B$6,2,FALSE)</f>
        <v>104</v>
      </c>
      <c r="P41" s="86">
        <f>VLOOKUP($B41,ref_var!$A$2:$B$6,2,FALSE)</f>
        <v>104</v>
      </c>
      <c r="Q41" s="86">
        <f>VLOOKUP($B41,ref_var!$A$2:$B$6,2,FALSE)</f>
        <v>104</v>
      </c>
    </row>
    <row r="42" spans="2:17" s="23" customFormat="1" x14ac:dyDescent="0.3">
      <c r="B42" s="10"/>
      <c r="C42" s="11" t="s">
        <v>1</v>
      </c>
      <c r="D42" s="2"/>
      <c r="E42" s="2"/>
      <c r="F42" s="2"/>
      <c r="G42" s="2"/>
      <c r="H42" s="2"/>
      <c r="I42" s="2"/>
      <c r="J42" s="2"/>
      <c r="K42" s="2"/>
      <c r="N42" s="83"/>
      <c r="O42" s="83"/>
      <c r="P42" s="83"/>
      <c r="Q42" s="83"/>
    </row>
    <row r="43" spans="2:17" s="15" customFormat="1" x14ac:dyDescent="0.3">
      <c r="B43" s="10"/>
      <c r="C43" s="11" t="s">
        <v>26</v>
      </c>
      <c r="D43" s="2"/>
      <c r="E43" s="2"/>
      <c r="F43" s="2"/>
      <c r="G43" s="2"/>
      <c r="H43" s="2"/>
      <c r="I43" s="2"/>
      <c r="J43" s="2"/>
      <c r="K43" s="2"/>
      <c r="N43" s="83"/>
      <c r="O43" s="83"/>
      <c r="P43" s="83"/>
      <c r="Q43" s="83"/>
    </row>
    <row r="44" spans="2:17" s="15" customFormat="1" x14ac:dyDescent="0.3">
      <c r="B44" s="10"/>
      <c r="C44" s="11" t="s">
        <v>25</v>
      </c>
      <c r="D44" s="2"/>
      <c r="E44" s="2"/>
      <c r="F44" s="2"/>
      <c r="G44" s="2"/>
      <c r="H44" s="2"/>
      <c r="I44" s="2"/>
      <c r="J44" s="2"/>
      <c r="K44" s="2"/>
      <c r="N44" s="83"/>
      <c r="O44" s="83"/>
      <c r="P44" s="83"/>
      <c r="Q44" s="83"/>
    </row>
    <row r="45" spans="2:17" s="15" customFormat="1" x14ac:dyDescent="0.3">
      <c r="B45" s="10"/>
      <c r="C45" s="11" t="s">
        <v>275</v>
      </c>
      <c r="D45" s="2"/>
      <c r="E45" s="2"/>
      <c r="F45" s="2"/>
      <c r="G45" s="2"/>
      <c r="H45" s="2"/>
      <c r="I45" s="2"/>
      <c r="J45" s="2"/>
      <c r="K45" s="2"/>
      <c r="N45" s="83"/>
      <c r="O45" s="83"/>
      <c r="P45" s="83"/>
      <c r="Q45" s="83"/>
    </row>
    <row r="46" spans="2:17" s="15" customFormat="1" x14ac:dyDescent="0.3">
      <c r="B46" s="10"/>
      <c r="C46" s="11" t="s">
        <v>2</v>
      </c>
      <c r="D46" s="2"/>
      <c r="E46" s="2"/>
      <c r="F46" s="2"/>
      <c r="G46" s="2"/>
      <c r="H46" s="2"/>
      <c r="I46" s="2"/>
      <c r="J46" s="2"/>
      <c r="K46" s="2"/>
      <c r="N46" s="83"/>
      <c r="O46" s="83"/>
      <c r="P46" s="83"/>
      <c r="Q46" s="83"/>
    </row>
    <row r="47" spans="2:17" s="15" customFormat="1" x14ac:dyDescent="0.3">
      <c r="B47" s="12"/>
      <c r="C47" s="13" t="s">
        <v>277</v>
      </c>
      <c r="D47" s="3"/>
      <c r="E47" s="3"/>
      <c r="F47" s="3"/>
      <c r="G47" s="3"/>
      <c r="H47" s="3"/>
      <c r="I47" s="3"/>
      <c r="J47" s="3"/>
      <c r="K47" s="3"/>
      <c r="N47" s="83">
        <f>D47*N41</f>
        <v>0</v>
      </c>
      <c r="O47" s="83">
        <f>F47*O41</f>
        <v>0</v>
      </c>
      <c r="P47" s="83">
        <f>H47*P41</f>
        <v>0</v>
      </c>
      <c r="Q47" s="83">
        <f>J47*Q41</f>
        <v>0</v>
      </c>
    </row>
    <row r="48" spans="2:17" x14ac:dyDescent="0.3">
      <c r="B48" s="156" t="s">
        <v>6</v>
      </c>
      <c r="C48" s="157"/>
      <c r="D48" s="157"/>
      <c r="E48" s="157"/>
      <c r="F48" s="157"/>
      <c r="G48" s="157"/>
      <c r="H48" s="157"/>
      <c r="I48" s="157"/>
      <c r="J48" s="157"/>
      <c r="K48" s="158"/>
      <c r="N48" s="86">
        <f>VLOOKUP($B48,ref_var!$A$2:$B$6,2,FALSE)</f>
        <v>46</v>
      </c>
      <c r="O48" s="86">
        <f>VLOOKUP($B48,ref_var!$A$2:$B$6,2,FALSE)</f>
        <v>46</v>
      </c>
      <c r="P48" s="86">
        <f>VLOOKUP($B48,ref_var!$A$2:$B$6,2,FALSE)</f>
        <v>46</v>
      </c>
      <c r="Q48" s="86">
        <f>VLOOKUP($B48,ref_var!$A$2:$B$6,2,FALSE)</f>
        <v>46</v>
      </c>
    </row>
    <row r="49" spans="2:17" s="23" customFormat="1" x14ac:dyDescent="0.3">
      <c r="B49" s="10"/>
      <c r="C49" s="11" t="s">
        <v>1</v>
      </c>
      <c r="D49" s="2"/>
      <c r="E49" s="2"/>
      <c r="F49" s="2"/>
      <c r="G49" s="2"/>
      <c r="H49" s="2"/>
      <c r="I49" s="2"/>
      <c r="J49" s="2"/>
      <c r="K49" s="2"/>
      <c r="N49" s="83"/>
      <c r="O49" s="83"/>
      <c r="P49" s="83"/>
      <c r="Q49" s="83"/>
    </row>
    <row r="50" spans="2:17" x14ac:dyDescent="0.3">
      <c r="B50" s="10"/>
      <c r="C50" s="11" t="s">
        <v>26</v>
      </c>
      <c r="D50" s="2"/>
      <c r="E50" s="2"/>
      <c r="F50" s="2"/>
      <c r="G50" s="2"/>
      <c r="H50" s="2"/>
      <c r="I50" s="2"/>
      <c r="J50" s="2"/>
      <c r="K50" s="2"/>
    </row>
    <row r="51" spans="2:17" x14ac:dyDescent="0.3">
      <c r="B51" s="10"/>
      <c r="C51" s="11" t="s">
        <v>25</v>
      </c>
      <c r="D51" s="2"/>
      <c r="E51" s="2"/>
      <c r="F51" s="2"/>
      <c r="G51" s="2"/>
      <c r="H51" s="2"/>
      <c r="I51" s="2"/>
      <c r="J51" s="2"/>
      <c r="K51" s="2"/>
    </row>
    <row r="52" spans="2:17" x14ac:dyDescent="0.3">
      <c r="B52" s="10"/>
      <c r="C52" s="11" t="s">
        <v>275</v>
      </c>
      <c r="D52" s="2"/>
      <c r="E52" s="2"/>
      <c r="F52" s="2"/>
      <c r="G52" s="2"/>
      <c r="H52" s="2"/>
      <c r="I52" s="2"/>
      <c r="J52" s="2"/>
      <c r="K52" s="2"/>
    </row>
    <row r="53" spans="2:17" x14ac:dyDescent="0.3">
      <c r="B53" s="10"/>
      <c r="C53" s="11" t="s">
        <v>2</v>
      </c>
      <c r="D53" s="2"/>
      <c r="E53" s="2"/>
      <c r="F53" s="2"/>
      <c r="G53" s="2"/>
      <c r="H53" s="2"/>
      <c r="I53" s="2"/>
      <c r="J53" s="2"/>
      <c r="K53" s="2"/>
    </row>
    <row r="54" spans="2:17" x14ac:dyDescent="0.3">
      <c r="B54" s="12"/>
      <c r="C54" s="13" t="s">
        <v>277</v>
      </c>
      <c r="D54" s="3"/>
      <c r="E54" s="3"/>
      <c r="F54" s="3"/>
      <c r="G54" s="3"/>
      <c r="H54" s="3"/>
      <c r="I54" s="3"/>
      <c r="J54" s="3"/>
      <c r="K54" s="3"/>
      <c r="N54" s="83">
        <f>D54*N48</f>
        <v>0</v>
      </c>
      <c r="O54" s="83">
        <f>F54*O48</f>
        <v>0</v>
      </c>
      <c r="P54" s="83">
        <f>H54*P48</f>
        <v>0</v>
      </c>
      <c r="Q54" s="83">
        <f>J54*Q48</f>
        <v>0</v>
      </c>
    </row>
    <row r="55" spans="2:17" x14ac:dyDescent="0.3">
      <c r="B55" s="166" t="s">
        <v>11</v>
      </c>
      <c r="C55" s="167"/>
      <c r="D55" s="164"/>
      <c r="E55" s="164"/>
      <c r="F55" s="164"/>
      <c r="G55" s="164"/>
      <c r="H55" s="164"/>
      <c r="I55" s="164"/>
      <c r="J55" s="164"/>
      <c r="K55" s="165"/>
    </row>
    <row r="56" spans="2:17" s="23" customFormat="1" x14ac:dyDescent="0.3">
      <c r="B56" s="10"/>
      <c r="C56" s="11" t="s">
        <v>1</v>
      </c>
      <c r="D56" s="2"/>
      <c r="E56" s="2"/>
      <c r="F56" s="2"/>
      <c r="G56" s="2"/>
      <c r="H56" s="2"/>
      <c r="I56" s="2"/>
      <c r="J56" s="2"/>
      <c r="K56" s="2"/>
      <c r="N56" s="83"/>
      <c r="O56" s="83"/>
      <c r="P56" s="83"/>
      <c r="Q56" s="83"/>
    </row>
    <row r="57" spans="2:17" x14ac:dyDescent="0.3">
      <c r="B57" s="10"/>
      <c r="C57" s="11" t="s">
        <v>26</v>
      </c>
      <c r="D57" s="2"/>
      <c r="E57" s="2"/>
      <c r="F57" s="2"/>
      <c r="G57" s="2"/>
      <c r="H57" s="2"/>
      <c r="I57" s="2"/>
      <c r="J57" s="2"/>
      <c r="K57" s="2"/>
    </row>
    <row r="58" spans="2:17" x14ac:dyDescent="0.3">
      <c r="B58" s="10"/>
      <c r="C58" s="11" t="s">
        <v>25</v>
      </c>
      <c r="D58" s="2"/>
      <c r="E58" s="2"/>
      <c r="F58" s="2"/>
      <c r="G58" s="2"/>
      <c r="H58" s="2"/>
      <c r="I58" s="2"/>
      <c r="J58" s="2"/>
      <c r="K58" s="2"/>
    </row>
    <row r="59" spans="2:17" x14ac:dyDescent="0.3">
      <c r="B59" s="10"/>
      <c r="C59" s="11" t="s">
        <v>275</v>
      </c>
      <c r="D59" s="2"/>
      <c r="E59" s="2"/>
      <c r="F59" s="2"/>
      <c r="G59" s="2"/>
      <c r="H59" s="2"/>
      <c r="I59" s="2"/>
      <c r="J59" s="2"/>
      <c r="K59" s="2"/>
    </row>
    <row r="60" spans="2:17" x14ac:dyDescent="0.3">
      <c r="B60" s="10"/>
      <c r="C60" s="11" t="s">
        <v>2</v>
      </c>
      <c r="D60" s="2"/>
      <c r="E60" s="2"/>
      <c r="F60" s="2"/>
      <c r="G60" s="2"/>
      <c r="H60" s="2"/>
      <c r="I60" s="2"/>
      <c r="J60" s="2"/>
      <c r="K60" s="2"/>
    </row>
    <row r="61" spans="2:17" s="23" customFormat="1" x14ac:dyDescent="0.3">
      <c r="B61" s="80"/>
      <c r="C61" s="81" t="s">
        <v>277</v>
      </c>
      <c r="D61" s="82"/>
      <c r="E61" s="82"/>
      <c r="F61" s="82"/>
      <c r="G61" s="82"/>
      <c r="H61" s="82"/>
      <c r="I61" s="82"/>
      <c r="J61" s="82"/>
      <c r="K61" s="82"/>
      <c r="N61" s="83">
        <f>D61*D62</f>
        <v>0</v>
      </c>
      <c r="O61" s="83">
        <f>F61*F62</f>
        <v>0</v>
      </c>
      <c r="P61" s="83">
        <f>H61*H62</f>
        <v>0</v>
      </c>
      <c r="Q61" s="83">
        <f>J61*J62</f>
        <v>0</v>
      </c>
    </row>
    <row r="62" spans="2:17" x14ac:dyDescent="0.3">
      <c r="B62" s="12"/>
      <c r="C62" s="13" t="s">
        <v>223</v>
      </c>
      <c r="D62" s="3"/>
      <c r="E62" s="3"/>
      <c r="F62" s="3"/>
      <c r="G62" s="3"/>
      <c r="H62" s="3"/>
      <c r="I62" s="3"/>
      <c r="J62" s="3"/>
      <c r="K62" s="3"/>
      <c r="N62" s="85"/>
      <c r="O62" s="85"/>
      <c r="P62" s="85"/>
      <c r="Q62" s="85"/>
    </row>
    <row r="63" spans="2:17" x14ac:dyDescent="0.3">
      <c r="B63" s="166" t="s">
        <v>11</v>
      </c>
      <c r="C63" s="167"/>
      <c r="D63" s="164"/>
      <c r="E63" s="164"/>
      <c r="F63" s="164"/>
      <c r="G63" s="164"/>
      <c r="H63" s="164"/>
      <c r="I63" s="164"/>
      <c r="J63" s="164"/>
      <c r="K63" s="165"/>
    </row>
    <row r="64" spans="2:17" s="23" customFormat="1" x14ac:dyDescent="0.3">
      <c r="B64" s="10"/>
      <c r="C64" s="11" t="s">
        <v>1</v>
      </c>
      <c r="D64" s="2"/>
      <c r="E64" s="2"/>
      <c r="F64" s="2"/>
      <c r="G64" s="2"/>
      <c r="H64" s="2"/>
      <c r="I64" s="2"/>
      <c r="J64" s="2"/>
      <c r="K64" s="2"/>
      <c r="N64" s="83"/>
      <c r="O64" s="83"/>
      <c r="P64" s="83"/>
      <c r="Q64" s="83"/>
    </row>
    <row r="65" spans="2:17" x14ac:dyDescent="0.3">
      <c r="B65" s="10"/>
      <c r="C65" s="11" t="s">
        <v>26</v>
      </c>
      <c r="D65" s="2"/>
      <c r="E65" s="2"/>
      <c r="F65" s="2"/>
      <c r="G65" s="2"/>
      <c r="H65" s="2"/>
      <c r="I65" s="2"/>
      <c r="J65" s="2"/>
      <c r="K65" s="2"/>
    </row>
    <row r="66" spans="2:17" x14ac:dyDescent="0.3">
      <c r="B66" s="10"/>
      <c r="C66" s="11" t="s">
        <v>25</v>
      </c>
      <c r="D66" s="2"/>
      <c r="E66" s="2"/>
      <c r="F66" s="2"/>
      <c r="G66" s="2"/>
      <c r="H66" s="2"/>
      <c r="I66" s="2"/>
      <c r="J66" s="2"/>
      <c r="K66" s="2"/>
    </row>
    <row r="67" spans="2:17" x14ac:dyDescent="0.3">
      <c r="B67" s="10"/>
      <c r="C67" s="11" t="s">
        <v>275</v>
      </c>
      <c r="D67" s="2"/>
      <c r="E67" s="2"/>
      <c r="F67" s="2"/>
      <c r="G67" s="2"/>
      <c r="H67" s="2"/>
      <c r="I67" s="2"/>
      <c r="J67" s="2"/>
      <c r="K67" s="2"/>
    </row>
    <row r="68" spans="2:17" x14ac:dyDescent="0.3">
      <c r="B68" s="10"/>
      <c r="C68" s="11" t="s">
        <v>2</v>
      </c>
      <c r="D68" s="2"/>
      <c r="E68" s="2"/>
      <c r="F68" s="2"/>
      <c r="G68" s="2"/>
      <c r="H68" s="2"/>
      <c r="I68" s="2"/>
      <c r="J68" s="2"/>
      <c r="K68" s="2"/>
    </row>
    <row r="69" spans="2:17" s="23" customFormat="1" x14ac:dyDescent="0.3">
      <c r="B69" s="80"/>
      <c r="C69" s="81" t="s">
        <v>277</v>
      </c>
      <c r="D69" s="82"/>
      <c r="E69" s="82"/>
      <c r="F69" s="82"/>
      <c r="G69" s="82"/>
      <c r="H69" s="82"/>
      <c r="I69" s="82"/>
      <c r="J69" s="82"/>
      <c r="K69" s="82"/>
      <c r="N69" s="83">
        <f>D69*D70</f>
        <v>0</v>
      </c>
      <c r="O69" s="83">
        <f>F69*F70</f>
        <v>0</v>
      </c>
      <c r="P69" s="83">
        <f>H69*H70</f>
        <v>0</v>
      </c>
      <c r="Q69" s="83">
        <f>J69*J70</f>
        <v>0</v>
      </c>
    </row>
    <row r="70" spans="2:17" x14ac:dyDescent="0.3">
      <c r="B70" s="12"/>
      <c r="C70" s="13" t="s">
        <v>223</v>
      </c>
      <c r="D70" s="3"/>
      <c r="E70" s="3"/>
      <c r="F70" s="3"/>
      <c r="G70" s="3"/>
      <c r="H70" s="3"/>
      <c r="I70" s="3"/>
      <c r="J70" s="3"/>
      <c r="K70" s="3"/>
      <c r="N70" s="85"/>
      <c r="O70" s="85"/>
      <c r="P70" s="85"/>
      <c r="Q70" s="85"/>
    </row>
    <row r="72" spans="2:17" x14ac:dyDescent="0.3">
      <c r="B72" s="14" t="s">
        <v>7</v>
      </c>
    </row>
    <row r="73" spans="2:17" x14ac:dyDescent="0.3">
      <c r="B73" s="163" t="s">
        <v>278</v>
      </c>
      <c r="C73" s="163"/>
      <c r="D73" s="163"/>
      <c r="E73" s="163"/>
      <c r="F73" s="163"/>
      <c r="G73" s="163"/>
      <c r="H73" s="163"/>
      <c r="I73" s="163"/>
      <c r="J73" s="163"/>
      <c r="K73" s="163"/>
    </row>
    <row r="74" spans="2:17" x14ac:dyDescent="0.3">
      <c r="B74" s="163" t="s">
        <v>279</v>
      </c>
      <c r="C74" s="163"/>
      <c r="D74" s="163"/>
      <c r="E74" s="163"/>
      <c r="F74" s="163"/>
      <c r="G74" s="163"/>
      <c r="H74" s="163"/>
      <c r="I74" s="163"/>
      <c r="J74" s="163"/>
      <c r="K74" s="163"/>
    </row>
  </sheetData>
  <sheetProtection algorithmName="SHA-512" hashValue="F5bLk9tv1nxkzV+T2RGNjySmpqxb85vRQQPtghVuTFb0qfxrKCrEL3M4I9aedKfJrSTKM2JwG4lmWgHZpi3pfw==" saltValue="BxGQTe7ts9WM5pJDk1U5QA==" spinCount="100000" sheet="1" objects="1" scenarios="1" selectLockedCells="1"/>
  <mergeCells count="27">
    <mergeCell ref="B73:K73"/>
    <mergeCell ref="B74:K74"/>
    <mergeCell ref="B27:K27"/>
    <mergeCell ref="D55:K55"/>
    <mergeCell ref="B55:C55"/>
    <mergeCell ref="B63:C63"/>
    <mergeCell ref="D63:K63"/>
    <mergeCell ref="B34:K34"/>
    <mergeCell ref="B48:K48"/>
    <mergeCell ref="D9:E9"/>
    <mergeCell ref="B41:K41"/>
    <mergeCell ref="B9:C9"/>
    <mergeCell ref="B10:C10"/>
    <mergeCell ref="B11:K11"/>
    <mergeCell ref="B20:K20"/>
    <mergeCell ref="F9:G9"/>
    <mergeCell ref="H9:I9"/>
    <mergeCell ref="J9:K9"/>
    <mergeCell ref="B1:K1"/>
    <mergeCell ref="B2:K2"/>
    <mergeCell ref="B4:K4"/>
    <mergeCell ref="D6:K6"/>
    <mergeCell ref="D8:E8"/>
    <mergeCell ref="F8:G8"/>
    <mergeCell ref="H8:I8"/>
    <mergeCell ref="J8:K8"/>
    <mergeCell ref="B8:C8"/>
  </mergeCells>
  <conditionalFormatting sqref="D6:K6">
    <cfRule type="cellIs" dxfId="10" priority="1" operator="equal">
      <formula>"Veuillez consulter l'onglet Instructions."</formula>
    </cfRule>
  </conditionalFormatting>
  <printOptions horizontalCentered="1"/>
  <pageMargins left="0.19685039370078741" right="0.19685039370078741" top="0.31496062992125984" bottom="0.31496062992125984" header="0.31496062992125984" footer="0.23622047244094491"/>
  <pageSetup scale="67" orientation="portrait" blackAndWhite="1" r:id="rId1"/>
  <headerFooter>
    <oddHeader>&amp;L&amp;G</oddHeader>
    <oddFooter>&amp;LMinistère des Transports, de la Mobilité durable et de l'Électrification des transports (2018-05)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A99F0-90A2-487D-8A68-685D69C6CFD1}">
  <sheetPr>
    <tabColor theme="8" tint="0.59999389629810485"/>
    <pageSetUpPr fitToPage="1"/>
  </sheetPr>
  <dimension ref="B1:Q74"/>
  <sheetViews>
    <sheetView showGridLines="0" zoomScaleNormal="100" workbookViewId="0">
      <selection activeCell="H12" sqref="H12"/>
    </sheetView>
  </sheetViews>
  <sheetFormatPr baseColWidth="10" defaultColWidth="11.44140625" defaultRowHeight="14.4" x14ac:dyDescent="0.3"/>
  <cols>
    <col min="1" max="2" width="1.6640625" style="23" customWidth="1"/>
    <col min="3" max="3" width="42.6640625" style="23" customWidth="1"/>
    <col min="4" max="7" width="11.5546875" style="23" hidden="1" customWidth="1"/>
    <col min="8" max="11" width="11.5546875" style="23" customWidth="1"/>
    <col min="12" max="12" width="1.6640625" style="23" customWidth="1"/>
    <col min="13" max="13" width="11.44140625" style="23"/>
    <col min="14" max="17" width="0" style="83" hidden="1" customWidth="1"/>
    <col min="18" max="16384" width="11.44140625" style="23"/>
  </cols>
  <sheetData>
    <row r="1" spans="2:17" s="126" customFormat="1" ht="18" x14ac:dyDescent="0.3">
      <c r="B1" s="145" t="s">
        <v>23</v>
      </c>
      <c r="C1" s="145"/>
      <c r="D1" s="145"/>
      <c r="E1" s="145"/>
      <c r="F1" s="145"/>
      <c r="G1" s="145"/>
      <c r="H1" s="145"/>
      <c r="I1" s="145"/>
      <c r="J1" s="145"/>
      <c r="K1" s="145"/>
      <c r="N1" s="128"/>
      <c r="O1" s="128"/>
      <c r="P1" s="128"/>
      <c r="Q1" s="128"/>
    </row>
    <row r="2" spans="2:17" ht="15.6" x14ac:dyDescent="0.3">
      <c r="B2" s="146" t="s">
        <v>40</v>
      </c>
      <c r="C2" s="146"/>
      <c r="D2" s="146"/>
      <c r="E2" s="146"/>
      <c r="F2" s="146"/>
      <c r="G2" s="146"/>
      <c r="H2" s="146"/>
      <c r="I2" s="146"/>
      <c r="J2" s="146"/>
      <c r="K2" s="146"/>
    </row>
    <row r="3" spans="2:17" ht="8.25" customHeight="1" x14ac:dyDescent="0.3">
      <c r="B3" s="6"/>
      <c r="C3" s="6"/>
      <c r="D3" s="6"/>
      <c r="E3" s="6"/>
      <c r="F3" s="6"/>
      <c r="G3" s="6"/>
      <c r="H3" s="6"/>
      <c r="I3" s="6"/>
      <c r="J3" s="6"/>
      <c r="K3" s="6"/>
    </row>
    <row r="4" spans="2:17" ht="15.6" x14ac:dyDescent="0.3">
      <c r="B4" s="147" t="s">
        <v>274</v>
      </c>
      <c r="C4" s="147"/>
      <c r="D4" s="147"/>
      <c r="E4" s="147"/>
      <c r="F4" s="147"/>
      <c r="G4" s="147"/>
      <c r="H4" s="147"/>
      <c r="I4" s="147"/>
      <c r="J4" s="147"/>
      <c r="K4" s="147"/>
    </row>
    <row r="5" spans="2:17" ht="15.6" x14ac:dyDescent="0.3">
      <c r="B5" s="6"/>
      <c r="C5" s="6"/>
      <c r="D5" s="6"/>
      <c r="E5" s="6"/>
      <c r="F5" s="6"/>
      <c r="G5" s="6"/>
      <c r="H5" s="6"/>
      <c r="I5" s="6"/>
      <c r="J5" s="6"/>
      <c r="K5" s="6"/>
    </row>
    <row r="6" spans="2:17" ht="15.6" x14ac:dyDescent="0.3">
      <c r="B6" s="6" t="s">
        <v>41</v>
      </c>
      <c r="C6" s="6"/>
      <c r="D6" s="149" t="str">
        <f>ref_var!$F$28</f>
        <v>Veuillez consulter l'onglet Instructions.</v>
      </c>
      <c r="E6" s="149"/>
      <c r="F6" s="149"/>
      <c r="G6" s="149"/>
      <c r="H6" s="149"/>
      <c r="I6" s="149"/>
      <c r="J6" s="149"/>
      <c r="K6" s="149"/>
    </row>
    <row r="8" spans="2:17" ht="30" customHeight="1" x14ac:dyDescent="0.3">
      <c r="B8" s="152" t="s">
        <v>318</v>
      </c>
      <c r="C8" s="153"/>
      <c r="D8" s="150">
        <f>ref_ges!A4</f>
        <v>2021</v>
      </c>
      <c r="E8" s="151"/>
      <c r="F8" s="150">
        <f>ref_ges!A5</f>
        <v>2022</v>
      </c>
      <c r="G8" s="151"/>
      <c r="H8" s="150">
        <f>ref_ges!A6</f>
        <v>2023</v>
      </c>
      <c r="I8" s="151"/>
      <c r="J8" s="150">
        <f>ref_ges!A7</f>
        <v>2024</v>
      </c>
      <c r="K8" s="151"/>
      <c r="N8" s="83">
        <f>ref_ges!A4</f>
        <v>2021</v>
      </c>
      <c r="O8" s="83">
        <f>ref_ges!A5</f>
        <v>2022</v>
      </c>
      <c r="P8" s="83">
        <f>ref_ges!A6</f>
        <v>2023</v>
      </c>
      <c r="Q8" s="83">
        <f>ref_ges!A7</f>
        <v>2024</v>
      </c>
    </row>
    <row r="9" spans="2:17" x14ac:dyDescent="0.3">
      <c r="B9" s="159" t="s">
        <v>218</v>
      </c>
      <c r="C9" s="160"/>
      <c r="D9" s="154"/>
      <c r="E9" s="155"/>
      <c r="F9" s="154"/>
      <c r="G9" s="155"/>
      <c r="H9" s="154"/>
      <c r="I9" s="155"/>
      <c r="J9" s="154"/>
      <c r="K9" s="155"/>
    </row>
    <row r="10" spans="2:17" ht="27.6" x14ac:dyDescent="0.3">
      <c r="B10" s="161" t="s">
        <v>21</v>
      </c>
      <c r="C10" s="162"/>
      <c r="D10" s="19" t="s">
        <v>9</v>
      </c>
      <c r="E10" s="19" t="s">
        <v>24</v>
      </c>
      <c r="F10" s="19" t="s">
        <v>9</v>
      </c>
      <c r="G10" s="19" t="s">
        <v>24</v>
      </c>
      <c r="H10" s="19" t="s">
        <v>9</v>
      </c>
      <c r="I10" s="19" t="s">
        <v>24</v>
      </c>
      <c r="J10" s="19" t="s">
        <v>9</v>
      </c>
      <c r="K10" s="19" t="s">
        <v>24</v>
      </c>
      <c r="N10" s="83">
        <f>N26+N33+N40+N47+N54+N61+N69</f>
        <v>0</v>
      </c>
      <c r="O10" s="83">
        <f t="shared" ref="O10:Q10" si="0">O26+O33+O40+O47+O54+O61+O69</f>
        <v>0</v>
      </c>
      <c r="P10" s="83">
        <f t="shared" si="0"/>
        <v>0</v>
      </c>
      <c r="Q10" s="83">
        <f t="shared" si="0"/>
        <v>0</v>
      </c>
    </row>
    <row r="11" spans="2:17" x14ac:dyDescent="0.3">
      <c r="B11" s="156" t="s">
        <v>0</v>
      </c>
      <c r="C11" s="157"/>
      <c r="D11" s="157"/>
      <c r="E11" s="157"/>
      <c r="F11" s="157"/>
      <c r="G11" s="157"/>
      <c r="H11" s="157"/>
      <c r="I11" s="157"/>
      <c r="J11" s="157"/>
      <c r="K11" s="158"/>
      <c r="N11" s="83" t="s">
        <v>224</v>
      </c>
      <c r="O11" s="83" t="s">
        <v>224</v>
      </c>
      <c r="P11" s="83" t="s">
        <v>224</v>
      </c>
      <c r="Q11" s="83" t="s">
        <v>224</v>
      </c>
    </row>
    <row r="12" spans="2:17" x14ac:dyDescent="0.3">
      <c r="B12" s="8"/>
      <c r="C12" s="9" t="s">
        <v>22</v>
      </c>
      <c r="D12" s="1"/>
      <c r="E12" s="1"/>
      <c r="F12" s="1"/>
      <c r="G12" s="1"/>
      <c r="H12" s="1"/>
      <c r="I12" s="1"/>
      <c r="J12" s="1"/>
      <c r="K12" s="1"/>
    </row>
    <row r="13" spans="2:17" x14ac:dyDescent="0.3">
      <c r="B13" s="10"/>
      <c r="C13" s="11" t="s">
        <v>1</v>
      </c>
      <c r="D13" s="18"/>
      <c r="E13" s="2"/>
      <c r="F13" s="2"/>
      <c r="G13" s="2"/>
      <c r="H13" s="2"/>
      <c r="I13" s="2"/>
      <c r="J13" s="2"/>
      <c r="K13" s="2"/>
    </row>
    <row r="14" spans="2:17" x14ac:dyDescent="0.3">
      <c r="B14" s="10"/>
      <c r="C14" s="11" t="s">
        <v>25</v>
      </c>
      <c r="D14" s="18"/>
      <c r="E14" s="2"/>
      <c r="F14" s="2"/>
      <c r="G14" s="2"/>
      <c r="H14" s="2"/>
      <c r="I14" s="2"/>
      <c r="J14" s="2"/>
      <c r="K14" s="2"/>
    </row>
    <row r="15" spans="2:17" x14ac:dyDescent="0.3">
      <c r="B15" s="10"/>
      <c r="C15" s="11" t="s">
        <v>275</v>
      </c>
      <c r="D15" s="2"/>
      <c r="E15" s="2"/>
      <c r="F15" s="2"/>
      <c r="G15" s="2"/>
      <c r="H15" s="2"/>
      <c r="I15" s="2"/>
      <c r="J15" s="2"/>
      <c r="K15" s="2"/>
    </row>
    <row r="16" spans="2:17" x14ac:dyDescent="0.3">
      <c r="B16" s="10"/>
      <c r="C16" s="11" t="s">
        <v>2</v>
      </c>
      <c r="D16" s="2"/>
      <c r="E16" s="2"/>
      <c r="F16" s="2"/>
      <c r="G16" s="2"/>
      <c r="H16" s="2"/>
      <c r="I16" s="2"/>
      <c r="J16" s="2"/>
      <c r="K16" s="2"/>
    </row>
    <row r="17" spans="2:17" x14ac:dyDescent="0.3">
      <c r="B17" s="10"/>
      <c r="C17" s="11" t="s">
        <v>276</v>
      </c>
      <c r="D17" s="2"/>
      <c r="E17" s="2"/>
      <c r="F17" s="2"/>
      <c r="G17" s="24"/>
      <c r="H17" s="2"/>
      <c r="I17" s="2"/>
      <c r="J17" s="2"/>
      <c r="K17" s="2"/>
    </row>
    <row r="18" spans="2:17" x14ac:dyDescent="0.3">
      <c r="B18" s="10"/>
      <c r="C18" s="11" t="s">
        <v>221</v>
      </c>
      <c r="D18" s="2"/>
      <c r="E18" s="2"/>
      <c r="F18" s="2"/>
      <c r="G18" s="2"/>
      <c r="H18" s="2"/>
      <c r="I18" s="2"/>
      <c r="J18" s="2"/>
      <c r="K18" s="2"/>
      <c r="N18" s="84" t="s">
        <v>225</v>
      </c>
      <c r="O18" s="84" t="s">
        <v>225</v>
      </c>
      <c r="P18" s="84" t="s">
        <v>225</v>
      </c>
      <c r="Q18" s="84" t="s">
        <v>225</v>
      </c>
    </row>
    <row r="19" spans="2:17" x14ac:dyDescent="0.3">
      <c r="B19" s="12"/>
      <c r="C19" s="13" t="s">
        <v>222</v>
      </c>
      <c r="D19" s="3"/>
      <c r="E19" s="3"/>
      <c r="F19" s="3"/>
      <c r="G19" s="3"/>
      <c r="H19" s="3"/>
      <c r="I19" s="3"/>
      <c r="J19" s="3"/>
      <c r="K19" s="3"/>
      <c r="N19" s="84" t="s">
        <v>225</v>
      </c>
      <c r="O19" s="84" t="s">
        <v>225</v>
      </c>
      <c r="P19" s="84" t="s">
        <v>225</v>
      </c>
      <c r="Q19" s="84" t="s">
        <v>225</v>
      </c>
    </row>
    <row r="20" spans="2:17" x14ac:dyDescent="0.3">
      <c r="B20" s="156" t="s">
        <v>3</v>
      </c>
      <c r="C20" s="157"/>
      <c r="D20" s="157"/>
      <c r="E20" s="157"/>
      <c r="F20" s="157"/>
      <c r="G20" s="157"/>
      <c r="H20" s="157"/>
      <c r="I20" s="157"/>
      <c r="J20" s="157"/>
      <c r="K20" s="158"/>
      <c r="N20" s="86">
        <f>VLOOKUP($B20,ref_var!$A$2:$B$6,2,FALSE)</f>
        <v>35</v>
      </c>
      <c r="O20" s="86">
        <f>VLOOKUP($B20,ref_var!$A$2:$B$6,2,FALSE)</f>
        <v>35</v>
      </c>
      <c r="P20" s="86">
        <f>VLOOKUP($B20,ref_var!$A$2:$B$6,2,FALSE)</f>
        <v>35</v>
      </c>
      <c r="Q20" s="86">
        <f>VLOOKUP($B20,ref_var!$A$2:$B$6,2,FALSE)</f>
        <v>35</v>
      </c>
    </row>
    <row r="21" spans="2:17" x14ac:dyDescent="0.3">
      <c r="B21" s="10"/>
      <c r="C21" s="11" t="s">
        <v>1</v>
      </c>
      <c r="D21" s="2"/>
      <c r="E21" s="2"/>
      <c r="F21" s="2"/>
      <c r="G21" s="2"/>
      <c r="H21" s="2"/>
      <c r="I21" s="2"/>
      <c r="J21" s="2"/>
      <c r="K21" s="2"/>
    </row>
    <row r="22" spans="2:17" x14ac:dyDescent="0.3">
      <c r="B22" s="10"/>
      <c r="C22" s="11" t="s">
        <v>26</v>
      </c>
      <c r="D22" s="2"/>
      <c r="E22" s="2"/>
      <c r="F22" s="2"/>
      <c r="G22" s="2"/>
      <c r="H22" s="2"/>
      <c r="I22" s="2"/>
      <c r="J22" s="2"/>
      <c r="K22" s="2"/>
    </row>
    <row r="23" spans="2:17" x14ac:dyDescent="0.3">
      <c r="B23" s="10"/>
      <c r="C23" s="11" t="s">
        <v>25</v>
      </c>
      <c r="D23" s="2"/>
      <c r="E23" s="2"/>
      <c r="F23" s="2"/>
      <c r="G23" s="2"/>
      <c r="H23" s="2"/>
      <c r="I23" s="2"/>
      <c r="J23" s="2"/>
      <c r="K23" s="2"/>
    </row>
    <row r="24" spans="2:17" x14ac:dyDescent="0.3">
      <c r="B24" s="10"/>
      <c r="C24" s="11" t="s">
        <v>275</v>
      </c>
      <c r="D24" s="2"/>
      <c r="E24" s="2"/>
      <c r="F24" s="2"/>
      <c r="G24" s="2"/>
      <c r="H24" s="2"/>
      <c r="I24" s="2"/>
      <c r="J24" s="2"/>
      <c r="K24" s="2"/>
    </row>
    <row r="25" spans="2:17" x14ac:dyDescent="0.3">
      <c r="B25" s="10"/>
      <c r="C25" s="11" t="s">
        <v>2</v>
      </c>
      <c r="D25" s="2"/>
      <c r="E25" s="2"/>
      <c r="F25" s="2"/>
      <c r="G25" s="2"/>
      <c r="H25" s="2"/>
      <c r="I25" s="2"/>
      <c r="J25" s="2"/>
      <c r="K25" s="2"/>
    </row>
    <row r="26" spans="2:17" x14ac:dyDescent="0.3">
      <c r="B26" s="12"/>
      <c r="C26" s="13" t="s">
        <v>277</v>
      </c>
      <c r="D26" s="3"/>
      <c r="E26" s="3"/>
      <c r="F26" s="3"/>
      <c r="G26" s="3"/>
      <c r="H26" s="3"/>
      <c r="I26" s="3"/>
      <c r="J26" s="3"/>
      <c r="K26" s="3"/>
      <c r="N26" s="83">
        <f>D26*N20</f>
        <v>0</v>
      </c>
      <c r="O26" s="83">
        <f>F26*O20</f>
        <v>0</v>
      </c>
      <c r="P26" s="83">
        <f>H26*P20</f>
        <v>0</v>
      </c>
      <c r="Q26" s="83">
        <f>J26*Q20</f>
        <v>0</v>
      </c>
    </row>
    <row r="27" spans="2:17" x14ac:dyDescent="0.3">
      <c r="B27" s="156" t="s">
        <v>4</v>
      </c>
      <c r="C27" s="157"/>
      <c r="D27" s="157"/>
      <c r="E27" s="157"/>
      <c r="F27" s="157"/>
      <c r="G27" s="157"/>
      <c r="H27" s="157"/>
      <c r="I27" s="157"/>
      <c r="J27" s="157"/>
      <c r="K27" s="158"/>
      <c r="N27" s="86">
        <f>VLOOKUP($B27,ref_var!$A$2:$B$6,2,FALSE)</f>
        <v>45</v>
      </c>
      <c r="O27" s="86">
        <f>VLOOKUP($B27,ref_var!$A$2:$B$6,2,FALSE)</f>
        <v>45</v>
      </c>
      <c r="P27" s="86">
        <f>VLOOKUP($B27,ref_var!$A$2:$B$6,2,FALSE)</f>
        <v>45</v>
      </c>
      <c r="Q27" s="86">
        <f>VLOOKUP($B27,ref_var!$A$2:$B$6,2,FALSE)</f>
        <v>45</v>
      </c>
    </row>
    <row r="28" spans="2:17" x14ac:dyDescent="0.3">
      <c r="B28" s="10"/>
      <c r="C28" s="11" t="s">
        <v>1</v>
      </c>
      <c r="D28" s="2"/>
      <c r="E28" s="2"/>
      <c r="F28" s="2"/>
      <c r="G28" s="2"/>
      <c r="H28" s="2"/>
      <c r="I28" s="2"/>
      <c r="J28" s="2"/>
      <c r="K28" s="2"/>
    </row>
    <row r="29" spans="2:17" x14ac:dyDescent="0.3">
      <c r="B29" s="10"/>
      <c r="C29" s="11" t="s">
        <v>26</v>
      </c>
      <c r="D29" s="2"/>
      <c r="E29" s="2"/>
      <c r="F29" s="2"/>
      <c r="G29" s="2"/>
      <c r="H29" s="2"/>
      <c r="I29" s="2"/>
      <c r="J29" s="2"/>
      <c r="K29" s="2"/>
    </row>
    <row r="30" spans="2:17" x14ac:dyDescent="0.3">
      <c r="B30" s="10"/>
      <c r="C30" s="11" t="s">
        <v>25</v>
      </c>
      <c r="D30" s="2"/>
      <c r="E30" s="2"/>
      <c r="F30" s="2"/>
      <c r="G30" s="2"/>
      <c r="H30" s="2"/>
      <c r="I30" s="2"/>
      <c r="J30" s="2"/>
      <c r="K30" s="2"/>
    </row>
    <row r="31" spans="2:17" x14ac:dyDescent="0.3">
      <c r="B31" s="10"/>
      <c r="C31" s="11" t="s">
        <v>275</v>
      </c>
      <c r="D31" s="2"/>
      <c r="E31" s="2"/>
      <c r="F31" s="2"/>
      <c r="G31" s="2"/>
      <c r="H31" s="2"/>
      <c r="I31" s="2"/>
      <c r="J31" s="2"/>
      <c r="K31" s="2"/>
    </row>
    <row r="32" spans="2:17" x14ac:dyDescent="0.3">
      <c r="B32" s="10"/>
      <c r="C32" s="11" t="s">
        <v>2</v>
      </c>
      <c r="D32" s="2"/>
      <c r="E32" s="2"/>
      <c r="F32" s="2"/>
      <c r="G32" s="2"/>
      <c r="H32" s="2"/>
      <c r="I32" s="2"/>
      <c r="J32" s="2"/>
      <c r="K32" s="2"/>
    </row>
    <row r="33" spans="2:17" x14ac:dyDescent="0.3">
      <c r="B33" s="12"/>
      <c r="C33" s="13" t="s">
        <v>277</v>
      </c>
      <c r="D33" s="3"/>
      <c r="E33" s="3"/>
      <c r="F33" s="3"/>
      <c r="G33" s="3"/>
      <c r="H33" s="3"/>
      <c r="I33" s="3"/>
      <c r="J33" s="3"/>
      <c r="K33" s="3"/>
      <c r="N33" s="83">
        <f>D33*N27</f>
        <v>0</v>
      </c>
      <c r="O33" s="83">
        <f>F33*O27</f>
        <v>0</v>
      </c>
      <c r="P33" s="83">
        <f>H33*P27</f>
        <v>0</v>
      </c>
      <c r="Q33" s="83">
        <f>J33*Q27</f>
        <v>0</v>
      </c>
    </row>
    <row r="34" spans="2:17" x14ac:dyDescent="0.3">
      <c r="B34" s="156" t="s">
        <v>5</v>
      </c>
      <c r="C34" s="157"/>
      <c r="D34" s="157"/>
      <c r="E34" s="157"/>
      <c r="F34" s="157"/>
      <c r="G34" s="157"/>
      <c r="H34" s="157"/>
      <c r="I34" s="157"/>
      <c r="J34" s="157"/>
      <c r="K34" s="158"/>
      <c r="N34" s="86">
        <f>VLOOKUP($B34,ref_var!$A$2:$B$6,2,FALSE)</f>
        <v>65</v>
      </c>
      <c r="O34" s="86">
        <f>VLOOKUP($B34,ref_var!$A$2:$B$6,2,FALSE)</f>
        <v>65</v>
      </c>
      <c r="P34" s="86">
        <f>VLOOKUP($B34,ref_var!$A$2:$B$6,2,FALSE)</f>
        <v>65</v>
      </c>
      <c r="Q34" s="86">
        <f>VLOOKUP($B34,ref_var!$A$2:$B$6,2,FALSE)</f>
        <v>65</v>
      </c>
    </row>
    <row r="35" spans="2:17" x14ac:dyDescent="0.3">
      <c r="B35" s="10"/>
      <c r="C35" s="11" t="s">
        <v>1</v>
      </c>
      <c r="D35" s="2"/>
      <c r="E35" s="2"/>
      <c r="F35" s="2"/>
      <c r="G35" s="2"/>
      <c r="H35" s="2"/>
      <c r="I35" s="2"/>
      <c r="J35" s="2"/>
      <c r="K35" s="2"/>
    </row>
    <row r="36" spans="2:17" x14ac:dyDescent="0.3">
      <c r="B36" s="10"/>
      <c r="C36" s="11" t="s">
        <v>26</v>
      </c>
      <c r="D36" s="2"/>
      <c r="E36" s="2"/>
      <c r="F36" s="2"/>
      <c r="G36" s="2"/>
      <c r="H36" s="2"/>
      <c r="I36" s="2"/>
      <c r="J36" s="2"/>
      <c r="K36" s="2"/>
    </row>
    <row r="37" spans="2:17" x14ac:dyDescent="0.3">
      <c r="B37" s="10"/>
      <c r="C37" s="11" t="s">
        <v>25</v>
      </c>
      <c r="D37" s="2"/>
      <c r="E37" s="2"/>
      <c r="F37" s="2"/>
      <c r="G37" s="2"/>
      <c r="H37" s="2"/>
      <c r="I37" s="2"/>
      <c r="J37" s="2"/>
      <c r="K37" s="2"/>
    </row>
    <row r="38" spans="2:17" x14ac:dyDescent="0.3">
      <c r="B38" s="10"/>
      <c r="C38" s="11" t="s">
        <v>275</v>
      </c>
      <c r="D38" s="2"/>
      <c r="E38" s="2"/>
      <c r="F38" s="2"/>
      <c r="G38" s="2"/>
      <c r="H38" s="2"/>
      <c r="I38" s="2"/>
      <c r="J38" s="2"/>
      <c r="K38" s="2"/>
    </row>
    <row r="39" spans="2:17" x14ac:dyDescent="0.3">
      <c r="B39" s="10"/>
      <c r="C39" s="11" t="s">
        <v>2</v>
      </c>
      <c r="D39" s="2"/>
      <c r="E39" s="2"/>
      <c r="F39" s="2"/>
      <c r="G39" s="2"/>
      <c r="H39" s="2"/>
      <c r="I39" s="2"/>
      <c r="J39" s="2"/>
      <c r="K39" s="2"/>
    </row>
    <row r="40" spans="2:17" x14ac:dyDescent="0.3">
      <c r="B40" s="12"/>
      <c r="C40" s="13" t="s">
        <v>277</v>
      </c>
      <c r="D40" s="3"/>
      <c r="E40" s="3"/>
      <c r="F40" s="3"/>
      <c r="G40" s="3"/>
      <c r="H40" s="3"/>
      <c r="I40" s="3"/>
      <c r="J40" s="3"/>
      <c r="K40" s="3"/>
      <c r="N40" s="83">
        <f>D40*N34</f>
        <v>0</v>
      </c>
      <c r="O40" s="83">
        <f>F40*O34</f>
        <v>0</v>
      </c>
      <c r="P40" s="83">
        <f>H40*P34</f>
        <v>0</v>
      </c>
      <c r="Q40" s="83">
        <f>J40*Q34</f>
        <v>0</v>
      </c>
    </row>
    <row r="41" spans="2:17" x14ac:dyDescent="0.3">
      <c r="B41" s="156" t="s">
        <v>10</v>
      </c>
      <c r="C41" s="157"/>
      <c r="D41" s="157"/>
      <c r="E41" s="157"/>
      <c r="F41" s="157"/>
      <c r="G41" s="157"/>
      <c r="H41" s="157"/>
      <c r="I41" s="157"/>
      <c r="J41" s="157"/>
      <c r="K41" s="158"/>
      <c r="N41" s="86">
        <f>VLOOKUP($B41,ref_var!$A$2:$B$6,2,FALSE)</f>
        <v>104</v>
      </c>
      <c r="O41" s="86">
        <f>VLOOKUP($B41,ref_var!$A$2:$B$6,2,FALSE)</f>
        <v>104</v>
      </c>
      <c r="P41" s="86">
        <f>VLOOKUP($B41,ref_var!$A$2:$B$6,2,FALSE)</f>
        <v>104</v>
      </c>
      <c r="Q41" s="86">
        <f>VLOOKUP($B41,ref_var!$A$2:$B$6,2,FALSE)</f>
        <v>104</v>
      </c>
    </row>
    <row r="42" spans="2:17" x14ac:dyDescent="0.3">
      <c r="B42" s="10"/>
      <c r="C42" s="11" t="s">
        <v>1</v>
      </c>
      <c r="D42" s="2"/>
      <c r="E42" s="2"/>
      <c r="F42" s="2"/>
      <c r="G42" s="2"/>
      <c r="H42" s="2"/>
      <c r="I42" s="2"/>
      <c r="J42" s="2"/>
      <c r="K42" s="2"/>
    </row>
    <row r="43" spans="2:17" x14ac:dyDescent="0.3">
      <c r="B43" s="10"/>
      <c r="C43" s="11" t="s">
        <v>26</v>
      </c>
      <c r="D43" s="2"/>
      <c r="E43" s="2"/>
      <c r="F43" s="2"/>
      <c r="G43" s="2"/>
      <c r="H43" s="2"/>
      <c r="I43" s="2"/>
      <c r="J43" s="2"/>
      <c r="K43" s="2"/>
    </row>
    <row r="44" spans="2:17" x14ac:dyDescent="0.3">
      <c r="B44" s="10"/>
      <c r="C44" s="11" t="s">
        <v>25</v>
      </c>
      <c r="D44" s="2"/>
      <c r="E44" s="2"/>
      <c r="F44" s="2"/>
      <c r="G44" s="2"/>
      <c r="H44" s="2"/>
      <c r="I44" s="2"/>
      <c r="J44" s="2"/>
      <c r="K44" s="2"/>
    </row>
    <row r="45" spans="2:17" x14ac:dyDescent="0.3">
      <c r="B45" s="10"/>
      <c r="C45" s="11" t="s">
        <v>275</v>
      </c>
      <c r="D45" s="2"/>
      <c r="E45" s="2"/>
      <c r="F45" s="2"/>
      <c r="G45" s="2"/>
      <c r="H45" s="2"/>
      <c r="I45" s="2"/>
      <c r="J45" s="2"/>
      <c r="K45" s="2"/>
    </row>
    <row r="46" spans="2:17" x14ac:dyDescent="0.3">
      <c r="B46" s="10"/>
      <c r="C46" s="11" t="s">
        <v>2</v>
      </c>
      <c r="D46" s="2"/>
      <c r="E46" s="2"/>
      <c r="F46" s="2"/>
      <c r="G46" s="2"/>
      <c r="H46" s="2"/>
      <c r="I46" s="2"/>
      <c r="J46" s="2"/>
      <c r="K46" s="2"/>
    </row>
    <row r="47" spans="2:17" x14ac:dyDescent="0.3">
      <c r="B47" s="12"/>
      <c r="C47" s="13" t="s">
        <v>277</v>
      </c>
      <c r="D47" s="3"/>
      <c r="E47" s="3"/>
      <c r="F47" s="3"/>
      <c r="G47" s="3"/>
      <c r="H47" s="3"/>
      <c r="I47" s="3"/>
      <c r="J47" s="3"/>
      <c r="K47" s="3"/>
      <c r="N47" s="83">
        <f>D47*N41</f>
        <v>0</v>
      </c>
      <c r="O47" s="83">
        <f>F47*O41</f>
        <v>0</v>
      </c>
      <c r="P47" s="83">
        <f>H47*P41</f>
        <v>0</v>
      </c>
      <c r="Q47" s="83">
        <f>J47*Q41</f>
        <v>0</v>
      </c>
    </row>
    <row r="48" spans="2:17" x14ac:dyDescent="0.3">
      <c r="B48" s="156" t="s">
        <v>6</v>
      </c>
      <c r="C48" s="157"/>
      <c r="D48" s="157"/>
      <c r="E48" s="157"/>
      <c r="F48" s="157"/>
      <c r="G48" s="157"/>
      <c r="H48" s="157"/>
      <c r="I48" s="157"/>
      <c r="J48" s="157"/>
      <c r="K48" s="158"/>
      <c r="N48" s="86">
        <f>VLOOKUP($B48,ref_var!$A$2:$B$6,2,FALSE)</f>
        <v>46</v>
      </c>
      <c r="O48" s="86">
        <f>VLOOKUP($B48,ref_var!$A$2:$B$6,2,FALSE)</f>
        <v>46</v>
      </c>
      <c r="P48" s="86">
        <f>VLOOKUP($B48,ref_var!$A$2:$B$6,2,FALSE)</f>
        <v>46</v>
      </c>
      <c r="Q48" s="86">
        <f>VLOOKUP($B48,ref_var!$A$2:$B$6,2,FALSE)</f>
        <v>46</v>
      </c>
    </row>
    <row r="49" spans="2:17" x14ac:dyDescent="0.3">
      <c r="B49" s="10"/>
      <c r="C49" s="11" t="s">
        <v>1</v>
      </c>
      <c r="D49" s="2"/>
      <c r="E49" s="2"/>
      <c r="F49" s="2"/>
      <c r="G49" s="2"/>
      <c r="H49" s="2"/>
      <c r="I49" s="2"/>
      <c r="J49" s="2"/>
      <c r="K49" s="2"/>
    </row>
    <row r="50" spans="2:17" x14ac:dyDescent="0.3">
      <c r="B50" s="10"/>
      <c r="C50" s="11" t="s">
        <v>26</v>
      </c>
      <c r="D50" s="2"/>
      <c r="E50" s="2"/>
      <c r="F50" s="2"/>
      <c r="G50" s="2"/>
      <c r="H50" s="2"/>
      <c r="I50" s="2"/>
      <c r="J50" s="2"/>
      <c r="K50" s="2"/>
    </row>
    <row r="51" spans="2:17" x14ac:dyDescent="0.3">
      <c r="B51" s="10"/>
      <c r="C51" s="11" t="s">
        <v>25</v>
      </c>
      <c r="D51" s="2"/>
      <c r="E51" s="2"/>
      <c r="F51" s="2"/>
      <c r="G51" s="2"/>
      <c r="H51" s="2"/>
      <c r="I51" s="2"/>
      <c r="J51" s="2"/>
      <c r="K51" s="2"/>
    </row>
    <row r="52" spans="2:17" x14ac:dyDescent="0.3">
      <c r="B52" s="10"/>
      <c r="C52" s="11" t="s">
        <v>275</v>
      </c>
      <c r="D52" s="2"/>
      <c r="E52" s="2"/>
      <c r="F52" s="2"/>
      <c r="G52" s="2"/>
      <c r="H52" s="2"/>
      <c r="I52" s="2"/>
      <c r="J52" s="2"/>
      <c r="K52" s="2"/>
    </row>
    <row r="53" spans="2:17" x14ac:dyDescent="0.3">
      <c r="B53" s="10"/>
      <c r="C53" s="11" t="s">
        <v>2</v>
      </c>
      <c r="D53" s="2"/>
      <c r="E53" s="2"/>
      <c r="F53" s="2"/>
      <c r="G53" s="2"/>
      <c r="H53" s="2"/>
      <c r="I53" s="2"/>
      <c r="J53" s="2"/>
      <c r="K53" s="2"/>
    </row>
    <row r="54" spans="2:17" x14ac:dyDescent="0.3">
      <c r="B54" s="12"/>
      <c r="C54" s="13" t="s">
        <v>277</v>
      </c>
      <c r="D54" s="3"/>
      <c r="E54" s="3"/>
      <c r="F54" s="3"/>
      <c r="G54" s="3"/>
      <c r="H54" s="3"/>
      <c r="I54" s="3"/>
      <c r="J54" s="3"/>
      <c r="K54" s="3"/>
      <c r="N54" s="83">
        <f>D54*N48</f>
        <v>0</v>
      </c>
      <c r="O54" s="83">
        <f>F54*O48</f>
        <v>0</v>
      </c>
      <c r="P54" s="83">
        <f>H54*P48</f>
        <v>0</v>
      </c>
      <c r="Q54" s="83">
        <f>J54*Q48</f>
        <v>0</v>
      </c>
    </row>
    <row r="55" spans="2:17" x14ac:dyDescent="0.3">
      <c r="B55" s="166" t="s">
        <v>11</v>
      </c>
      <c r="C55" s="167"/>
      <c r="D55" s="164"/>
      <c r="E55" s="164"/>
      <c r="F55" s="164"/>
      <c r="G55" s="164"/>
      <c r="H55" s="164"/>
      <c r="I55" s="164"/>
      <c r="J55" s="164"/>
      <c r="K55" s="165"/>
    </row>
    <row r="56" spans="2:17" x14ac:dyDescent="0.3">
      <c r="B56" s="10"/>
      <c r="C56" s="11" t="s">
        <v>1</v>
      </c>
      <c r="D56" s="2"/>
      <c r="E56" s="2"/>
      <c r="F56" s="2"/>
      <c r="G56" s="2"/>
      <c r="H56" s="2"/>
      <c r="I56" s="2"/>
      <c r="J56" s="2"/>
      <c r="K56" s="2"/>
    </row>
    <row r="57" spans="2:17" x14ac:dyDescent="0.3">
      <c r="B57" s="10"/>
      <c r="C57" s="11" t="s">
        <v>26</v>
      </c>
      <c r="D57" s="2"/>
      <c r="E57" s="2"/>
      <c r="F57" s="2"/>
      <c r="G57" s="2"/>
      <c r="H57" s="2"/>
      <c r="I57" s="2"/>
      <c r="J57" s="2"/>
      <c r="K57" s="2"/>
    </row>
    <row r="58" spans="2:17" x14ac:dyDescent="0.3">
      <c r="B58" s="10"/>
      <c r="C58" s="11" t="s">
        <v>25</v>
      </c>
      <c r="D58" s="2"/>
      <c r="E58" s="2"/>
      <c r="F58" s="2"/>
      <c r="G58" s="2"/>
      <c r="H58" s="2"/>
      <c r="I58" s="2"/>
      <c r="J58" s="2"/>
      <c r="K58" s="2"/>
    </row>
    <row r="59" spans="2:17" x14ac:dyDescent="0.3">
      <c r="B59" s="10"/>
      <c r="C59" s="11" t="s">
        <v>275</v>
      </c>
      <c r="D59" s="2"/>
      <c r="E59" s="2"/>
      <c r="F59" s="2"/>
      <c r="G59" s="2"/>
      <c r="H59" s="2"/>
      <c r="I59" s="2"/>
      <c r="J59" s="2"/>
      <c r="K59" s="2"/>
    </row>
    <row r="60" spans="2:17" x14ac:dyDescent="0.3">
      <c r="B60" s="10"/>
      <c r="C60" s="11" t="s">
        <v>2</v>
      </c>
      <c r="D60" s="2"/>
      <c r="E60" s="2"/>
      <c r="F60" s="2"/>
      <c r="G60" s="2"/>
      <c r="H60" s="2"/>
      <c r="I60" s="2"/>
      <c r="J60" s="2"/>
      <c r="K60" s="2"/>
    </row>
    <row r="61" spans="2:17" x14ac:dyDescent="0.3">
      <c r="B61" s="80"/>
      <c r="C61" s="81" t="s">
        <v>277</v>
      </c>
      <c r="D61" s="82"/>
      <c r="E61" s="82"/>
      <c r="F61" s="82"/>
      <c r="G61" s="82"/>
      <c r="H61" s="82"/>
      <c r="I61" s="82"/>
      <c r="J61" s="82"/>
      <c r="K61" s="82"/>
      <c r="N61" s="83">
        <f>D61*D62</f>
        <v>0</v>
      </c>
      <c r="O61" s="83">
        <f>F61*F62</f>
        <v>0</v>
      </c>
      <c r="P61" s="83">
        <f>H61*H62</f>
        <v>0</v>
      </c>
      <c r="Q61" s="83">
        <f>J61*J62</f>
        <v>0</v>
      </c>
    </row>
    <row r="62" spans="2:17" x14ac:dyDescent="0.3">
      <c r="B62" s="12"/>
      <c r="C62" s="13" t="s">
        <v>223</v>
      </c>
      <c r="D62" s="3"/>
      <c r="E62" s="3"/>
      <c r="F62" s="3"/>
      <c r="G62" s="3"/>
      <c r="H62" s="3"/>
      <c r="I62" s="3"/>
      <c r="J62" s="3"/>
      <c r="K62" s="3"/>
      <c r="N62" s="85"/>
      <c r="O62" s="85"/>
      <c r="P62" s="85"/>
      <c r="Q62" s="85"/>
    </row>
    <row r="63" spans="2:17" x14ac:dyDescent="0.3">
      <c r="B63" s="166" t="s">
        <v>11</v>
      </c>
      <c r="C63" s="167"/>
      <c r="D63" s="164"/>
      <c r="E63" s="164"/>
      <c r="F63" s="164"/>
      <c r="G63" s="164"/>
      <c r="H63" s="164"/>
      <c r="I63" s="164"/>
      <c r="J63" s="164"/>
      <c r="K63" s="165"/>
    </row>
    <row r="64" spans="2:17" x14ac:dyDescent="0.3">
      <c r="B64" s="10"/>
      <c r="C64" s="11" t="s">
        <v>1</v>
      </c>
      <c r="D64" s="2"/>
      <c r="E64" s="2"/>
      <c r="F64" s="2"/>
      <c r="G64" s="2"/>
      <c r="H64" s="2"/>
      <c r="I64" s="2"/>
      <c r="J64" s="2"/>
      <c r="K64" s="2"/>
    </row>
    <row r="65" spans="2:17" x14ac:dyDescent="0.3">
      <c r="B65" s="10"/>
      <c r="C65" s="11" t="s">
        <v>26</v>
      </c>
      <c r="D65" s="2"/>
      <c r="E65" s="2"/>
      <c r="F65" s="2"/>
      <c r="G65" s="2"/>
      <c r="H65" s="2"/>
      <c r="I65" s="2"/>
      <c r="J65" s="2"/>
      <c r="K65" s="2"/>
    </row>
    <row r="66" spans="2:17" x14ac:dyDescent="0.3">
      <c r="B66" s="10"/>
      <c r="C66" s="11" t="s">
        <v>25</v>
      </c>
      <c r="D66" s="2"/>
      <c r="E66" s="2"/>
      <c r="F66" s="2"/>
      <c r="G66" s="2"/>
      <c r="H66" s="2"/>
      <c r="I66" s="2"/>
      <c r="J66" s="2"/>
      <c r="K66" s="2"/>
    </row>
    <row r="67" spans="2:17" x14ac:dyDescent="0.3">
      <c r="B67" s="10"/>
      <c r="C67" s="11" t="s">
        <v>275</v>
      </c>
      <c r="D67" s="2"/>
      <c r="E67" s="2"/>
      <c r="F67" s="2"/>
      <c r="G67" s="2"/>
      <c r="H67" s="2"/>
      <c r="I67" s="2"/>
      <c r="J67" s="2"/>
      <c r="K67" s="2"/>
    </row>
    <row r="68" spans="2:17" x14ac:dyDescent="0.3">
      <c r="B68" s="10"/>
      <c r="C68" s="11" t="s">
        <v>2</v>
      </c>
      <c r="D68" s="2"/>
      <c r="E68" s="2"/>
      <c r="F68" s="2"/>
      <c r="G68" s="2"/>
      <c r="H68" s="2"/>
      <c r="I68" s="2"/>
      <c r="J68" s="2"/>
      <c r="K68" s="2"/>
    </row>
    <row r="69" spans="2:17" x14ac:dyDescent="0.3">
      <c r="B69" s="80"/>
      <c r="C69" s="81" t="s">
        <v>277</v>
      </c>
      <c r="D69" s="82"/>
      <c r="E69" s="82"/>
      <c r="F69" s="82"/>
      <c r="G69" s="82"/>
      <c r="H69" s="82"/>
      <c r="I69" s="82"/>
      <c r="J69" s="82"/>
      <c r="K69" s="82"/>
      <c r="N69" s="83">
        <f>D69*D70</f>
        <v>0</v>
      </c>
      <c r="O69" s="83">
        <f>F69*F70</f>
        <v>0</v>
      </c>
      <c r="P69" s="83">
        <f>H69*H70</f>
        <v>0</v>
      </c>
      <c r="Q69" s="83">
        <f>J69*J70</f>
        <v>0</v>
      </c>
    </row>
    <row r="70" spans="2:17" x14ac:dyDescent="0.3">
      <c r="B70" s="12"/>
      <c r="C70" s="13" t="s">
        <v>223</v>
      </c>
      <c r="D70" s="3"/>
      <c r="E70" s="3"/>
      <c r="F70" s="3"/>
      <c r="G70" s="3"/>
      <c r="H70" s="3"/>
      <c r="I70" s="3"/>
      <c r="J70" s="3"/>
      <c r="K70" s="3"/>
      <c r="N70" s="85"/>
      <c r="O70" s="85"/>
      <c r="P70" s="85"/>
      <c r="Q70" s="85"/>
    </row>
    <row r="72" spans="2:17" x14ac:dyDescent="0.3">
      <c r="B72" s="14" t="s">
        <v>7</v>
      </c>
    </row>
    <row r="73" spans="2:17" x14ac:dyDescent="0.3">
      <c r="B73" s="163" t="s">
        <v>278</v>
      </c>
      <c r="C73" s="163"/>
      <c r="D73" s="163"/>
      <c r="E73" s="163"/>
      <c r="F73" s="163"/>
      <c r="G73" s="163"/>
      <c r="H73" s="163"/>
      <c r="I73" s="163"/>
      <c r="J73" s="163"/>
      <c r="K73" s="163"/>
    </row>
    <row r="74" spans="2:17" x14ac:dyDescent="0.3">
      <c r="B74" s="163" t="s">
        <v>279</v>
      </c>
      <c r="C74" s="163"/>
      <c r="D74" s="163"/>
      <c r="E74" s="163"/>
      <c r="F74" s="163"/>
      <c r="G74" s="163"/>
      <c r="H74" s="163"/>
      <c r="I74" s="163"/>
      <c r="J74" s="163"/>
      <c r="K74" s="163"/>
    </row>
  </sheetData>
  <sheetProtection algorithmName="SHA-512" hashValue="toAaLkMEF6drhi/dvOrVbXNfrdZRVV/uivtq3bpM0UL3S6WVSzJ2WoVHftvzo9FKbcF0VHmWEmksQwBFIrutiA==" saltValue="mnckkepZjKTGEhjzacKt0g==" spinCount="100000" sheet="1" objects="1" scenarios="1" selectLockedCells="1"/>
  <mergeCells count="27">
    <mergeCell ref="B74:K74"/>
    <mergeCell ref="B8:C8"/>
    <mergeCell ref="B55:C55"/>
    <mergeCell ref="D55:K55"/>
    <mergeCell ref="B63:C63"/>
    <mergeCell ref="D63:K63"/>
    <mergeCell ref="B73:K73"/>
    <mergeCell ref="B11:K11"/>
    <mergeCell ref="B20:K20"/>
    <mergeCell ref="B27:K27"/>
    <mergeCell ref="B34:K34"/>
    <mergeCell ref="B41:K41"/>
    <mergeCell ref="B48:K48"/>
    <mergeCell ref="B9:C9"/>
    <mergeCell ref="D9:E9"/>
    <mergeCell ref="F9:G9"/>
    <mergeCell ref="H9:I9"/>
    <mergeCell ref="J9:K9"/>
    <mergeCell ref="B10:C10"/>
    <mergeCell ref="B1:K1"/>
    <mergeCell ref="B2:K2"/>
    <mergeCell ref="B4:K4"/>
    <mergeCell ref="D6:K6"/>
    <mergeCell ref="D8:E8"/>
    <mergeCell ref="F8:G8"/>
    <mergeCell ref="H8:I8"/>
    <mergeCell ref="J8:K8"/>
  </mergeCells>
  <conditionalFormatting sqref="D6:K6">
    <cfRule type="cellIs" dxfId="9" priority="1" operator="equal">
      <formula>"Veuillez consulter l'onglet Instructions."</formula>
    </cfRule>
  </conditionalFormatting>
  <printOptions horizontalCentered="1"/>
  <pageMargins left="0.19685039370078741" right="0.19685039370078741" top="0.31496062992125984" bottom="0.31496062992125984" header="0.31496062992125984" footer="0.23622047244094491"/>
  <pageSetup scale="67" orientation="portrait" blackAndWhite="1" r:id="rId1"/>
  <headerFooter>
    <oddHeader>&amp;L&amp;G</oddHeader>
    <oddFooter>&amp;LMinistère des Transports, de la Mobilité durable et de l'Électrification des transports (2018-05)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B1:Q75"/>
  <sheetViews>
    <sheetView showGridLines="0" zoomScaleNormal="100" workbookViewId="0">
      <selection activeCell="H12" sqref="H12"/>
    </sheetView>
  </sheetViews>
  <sheetFormatPr baseColWidth="10" defaultColWidth="11.44140625" defaultRowHeight="14.4" x14ac:dyDescent="0.3"/>
  <cols>
    <col min="1" max="2" width="1.6640625" style="16" customWidth="1"/>
    <col min="3" max="3" width="42.6640625" style="16" customWidth="1"/>
    <col min="4" max="7" width="11.5546875" style="16" hidden="1" customWidth="1"/>
    <col min="8" max="11" width="11.5546875" style="16" customWidth="1"/>
    <col min="12" max="12" width="1.6640625" style="16" customWidth="1"/>
    <col min="13" max="13" width="11.44140625" style="16"/>
    <col min="14" max="17" width="0" style="83" hidden="1" customWidth="1"/>
    <col min="18" max="16384" width="11.44140625" style="16"/>
  </cols>
  <sheetData>
    <row r="1" spans="2:17" s="126" customFormat="1" ht="18" x14ac:dyDescent="0.3">
      <c r="B1" s="145" t="s">
        <v>23</v>
      </c>
      <c r="C1" s="145"/>
      <c r="D1" s="145"/>
      <c r="E1" s="145"/>
      <c r="F1" s="145"/>
      <c r="G1" s="145"/>
      <c r="H1" s="145"/>
      <c r="I1" s="145"/>
      <c r="J1" s="145"/>
      <c r="K1" s="145"/>
      <c r="N1" s="128"/>
      <c r="O1" s="128"/>
      <c r="P1" s="128"/>
      <c r="Q1" s="128"/>
    </row>
    <row r="2" spans="2:17" ht="15.6" x14ac:dyDescent="0.3">
      <c r="B2" s="146" t="s">
        <v>40</v>
      </c>
      <c r="C2" s="146"/>
      <c r="D2" s="146"/>
      <c r="E2" s="146"/>
      <c r="F2" s="146"/>
      <c r="G2" s="146"/>
      <c r="H2" s="146"/>
      <c r="I2" s="146"/>
      <c r="J2" s="146"/>
      <c r="K2" s="146"/>
    </row>
    <row r="3" spans="2:17" ht="8.25" customHeight="1" x14ac:dyDescent="0.3">
      <c r="B3" s="6"/>
      <c r="C3" s="6"/>
      <c r="D3" s="6"/>
      <c r="E3" s="6"/>
      <c r="F3" s="6"/>
      <c r="G3" s="6"/>
      <c r="H3" s="6"/>
      <c r="I3" s="6"/>
      <c r="J3" s="6"/>
      <c r="K3" s="6"/>
    </row>
    <row r="4" spans="2:17" ht="15.6" x14ac:dyDescent="0.3">
      <c r="B4" s="147" t="s">
        <v>274</v>
      </c>
      <c r="C4" s="147"/>
      <c r="D4" s="147"/>
      <c r="E4" s="147"/>
      <c r="F4" s="147"/>
      <c r="G4" s="147"/>
      <c r="H4" s="147"/>
      <c r="I4" s="147"/>
      <c r="J4" s="147"/>
      <c r="K4" s="147"/>
    </row>
    <row r="5" spans="2:17" ht="15.6" x14ac:dyDescent="0.3">
      <c r="B5" s="6"/>
      <c r="C5" s="6"/>
      <c r="D5" s="6"/>
      <c r="E5" s="6"/>
      <c r="F5" s="6"/>
      <c r="G5" s="6"/>
      <c r="H5" s="6"/>
      <c r="I5" s="6"/>
      <c r="J5" s="6"/>
      <c r="K5" s="6"/>
    </row>
    <row r="6" spans="2:17" ht="15.6" x14ac:dyDescent="0.3">
      <c r="B6" s="6" t="s">
        <v>41</v>
      </c>
      <c r="C6" s="6"/>
      <c r="D6" s="149" t="str">
        <f>ref_var!$F$28</f>
        <v>Veuillez consulter l'onglet Instructions.</v>
      </c>
      <c r="E6" s="149"/>
      <c r="F6" s="149"/>
      <c r="G6" s="149"/>
      <c r="H6" s="149"/>
      <c r="I6" s="149"/>
      <c r="J6" s="149"/>
      <c r="K6" s="149"/>
    </row>
    <row r="8" spans="2:17" ht="30" customHeight="1" x14ac:dyDescent="0.3">
      <c r="B8" s="152" t="s">
        <v>319</v>
      </c>
      <c r="C8" s="153"/>
      <c r="D8" s="150">
        <f>ref_ges!A4</f>
        <v>2021</v>
      </c>
      <c r="E8" s="151"/>
      <c r="F8" s="150">
        <f>ref_ges!A5</f>
        <v>2022</v>
      </c>
      <c r="G8" s="151"/>
      <c r="H8" s="150">
        <f>ref_ges!A6</f>
        <v>2023</v>
      </c>
      <c r="I8" s="151"/>
      <c r="J8" s="150">
        <f>ref_ges!A7</f>
        <v>2024</v>
      </c>
      <c r="K8" s="151"/>
      <c r="N8" s="83">
        <f>ref_ges!A4</f>
        <v>2021</v>
      </c>
      <c r="O8" s="83">
        <f>ref_ges!A5</f>
        <v>2022</v>
      </c>
      <c r="P8" s="83">
        <f>ref_ges!A6</f>
        <v>2023</v>
      </c>
      <c r="Q8" s="83">
        <f>ref_ges!A7</f>
        <v>2024</v>
      </c>
    </row>
    <row r="9" spans="2:17" x14ac:dyDescent="0.3">
      <c r="B9" s="159" t="s">
        <v>218</v>
      </c>
      <c r="C9" s="160"/>
      <c r="D9" s="154"/>
      <c r="E9" s="155"/>
      <c r="F9" s="154"/>
      <c r="G9" s="155"/>
      <c r="H9" s="154"/>
      <c r="I9" s="155"/>
      <c r="J9" s="154"/>
      <c r="K9" s="155"/>
    </row>
    <row r="10" spans="2:17" ht="27.6" x14ac:dyDescent="0.3">
      <c r="B10" s="161" t="s">
        <v>21</v>
      </c>
      <c r="C10" s="162"/>
      <c r="D10" s="19" t="s">
        <v>9</v>
      </c>
      <c r="E10" s="19" t="s">
        <v>24</v>
      </c>
      <c r="F10" s="19" t="s">
        <v>9</v>
      </c>
      <c r="G10" s="19" t="s">
        <v>24</v>
      </c>
      <c r="H10" s="19" t="s">
        <v>9</v>
      </c>
      <c r="I10" s="19" t="s">
        <v>24</v>
      </c>
      <c r="J10" s="19" t="s">
        <v>9</v>
      </c>
      <c r="K10" s="19" t="s">
        <v>24</v>
      </c>
      <c r="N10" s="83">
        <f>N26+N33+N40+N47+N54+N61+N69</f>
        <v>0</v>
      </c>
      <c r="O10" s="83">
        <f t="shared" ref="O10:Q10" si="0">O26+O33+O40+O47+O54+O61+O69</f>
        <v>0</v>
      </c>
      <c r="P10" s="83">
        <f t="shared" si="0"/>
        <v>0</v>
      </c>
      <c r="Q10" s="83">
        <f t="shared" si="0"/>
        <v>0</v>
      </c>
    </row>
    <row r="11" spans="2:17" x14ac:dyDescent="0.3">
      <c r="B11" s="156" t="s">
        <v>0</v>
      </c>
      <c r="C11" s="157"/>
      <c r="D11" s="157"/>
      <c r="E11" s="157"/>
      <c r="F11" s="157"/>
      <c r="G11" s="157"/>
      <c r="H11" s="157"/>
      <c r="I11" s="157"/>
      <c r="J11" s="157"/>
      <c r="K11" s="158"/>
      <c r="N11" s="83" t="s">
        <v>224</v>
      </c>
      <c r="O11" s="83" t="s">
        <v>224</v>
      </c>
      <c r="P11" s="83" t="s">
        <v>224</v>
      </c>
      <c r="Q11" s="83" t="s">
        <v>224</v>
      </c>
    </row>
    <row r="12" spans="2:17" s="23" customFormat="1" x14ac:dyDescent="0.3">
      <c r="B12" s="8"/>
      <c r="C12" s="9" t="s">
        <v>22</v>
      </c>
      <c r="D12" s="1"/>
      <c r="E12" s="1"/>
      <c r="F12" s="1"/>
      <c r="G12" s="1"/>
      <c r="H12" s="1"/>
      <c r="I12" s="1"/>
      <c r="J12" s="1"/>
      <c r="K12" s="1"/>
      <c r="N12" s="83"/>
      <c r="O12" s="83"/>
      <c r="P12" s="83"/>
      <c r="Q12" s="83"/>
    </row>
    <row r="13" spans="2:17" s="23" customFormat="1" x14ac:dyDescent="0.3">
      <c r="B13" s="10"/>
      <c r="C13" s="11" t="s">
        <v>1</v>
      </c>
      <c r="D13" s="18"/>
      <c r="E13" s="2"/>
      <c r="F13" s="2"/>
      <c r="G13" s="2"/>
      <c r="H13" s="2"/>
      <c r="I13" s="2"/>
      <c r="J13" s="2"/>
      <c r="K13" s="2"/>
      <c r="N13" s="83"/>
      <c r="O13" s="83"/>
      <c r="P13" s="83"/>
      <c r="Q13" s="83"/>
    </row>
    <row r="14" spans="2:17" s="23" customFormat="1" x14ac:dyDescent="0.3">
      <c r="B14" s="10"/>
      <c r="C14" s="11" t="s">
        <v>25</v>
      </c>
      <c r="D14" s="18"/>
      <c r="E14" s="2"/>
      <c r="F14" s="2"/>
      <c r="G14" s="2"/>
      <c r="H14" s="2"/>
      <c r="I14" s="2"/>
      <c r="J14" s="2"/>
      <c r="K14" s="2"/>
      <c r="N14" s="83"/>
      <c r="O14" s="83"/>
      <c r="P14" s="83"/>
      <c r="Q14" s="83"/>
    </row>
    <row r="15" spans="2:17" s="23" customFormat="1" x14ac:dyDescent="0.3">
      <c r="B15" s="10"/>
      <c r="C15" s="11" t="s">
        <v>275</v>
      </c>
      <c r="D15" s="2"/>
      <c r="E15" s="2"/>
      <c r="F15" s="2"/>
      <c r="G15" s="2"/>
      <c r="H15" s="2"/>
      <c r="I15" s="2"/>
      <c r="J15" s="2"/>
      <c r="K15" s="2"/>
      <c r="N15" s="83"/>
      <c r="O15" s="83"/>
      <c r="P15" s="83"/>
      <c r="Q15" s="83"/>
    </row>
    <row r="16" spans="2:17" s="23" customFormat="1" x14ac:dyDescent="0.3">
      <c r="B16" s="10"/>
      <c r="C16" s="11" t="s">
        <v>2</v>
      </c>
      <c r="D16" s="2"/>
      <c r="E16" s="2"/>
      <c r="F16" s="2"/>
      <c r="G16" s="2"/>
      <c r="H16" s="2"/>
      <c r="I16" s="2"/>
      <c r="J16" s="2"/>
      <c r="K16" s="2"/>
      <c r="N16" s="83"/>
      <c r="O16" s="83"/>
      <c r="P16" s="83"/>
      <c r="Q16" s="83"/>
    </row>
    <row r="17" spans="2:17" s="23" customFormat="1" x14ac:dyDescent="0.3">
      <c r="B17" s="10"/>
      <c r="C17" s="11" t="s">
        <v>276</v>
      </c>
      <c r="D17" s="2"/>
      <c r="E17" s="2"/>
      <c r="F17" s="2"/>
      <c r="G17" s="24"/>
      <c r="H17" s="2"/>
      <c r="I17" s="2"/>
      <c r="J17" s="2"/>
      <c r="K17" s="2"/>
      <c r="N17" s="83"/>
      <c r="O17" s="83"/>
      <c r="P17" s="83"/>
      <c r="Q17" s="83"/>
    </row>
    <row r="18" spans="2:17" s="23" customFormat="1" x14ac:dyDescent="0.3">
      <c r="B18" s="10"/>
      <c r="C18" s="11" t="s">
        <v>221</v>
      </c>
      <c r="D18" s="2"/>
      <c r="E18" s="2"/>
      <c r="F18" s="2"/>
      <c r="G18" s="2"/>
      <c r="H18" s="2"/>
      <c r="I18" s="2"/>
      <c r="J18" s="2"/>
      <c r="K18" s="2"/>
      <c r="N18" s="84" t="s">
        <v>225</v>
      </c>
      <c r="O18" s="84" t="s">
        <v>225</v>
      </c>
      <c r="P18" s="84" t="s">
        <v>225</v>
      </c>
      <c r="Q18" s="84" t="s">
        <v>225</v>
      </c>
    </row>
    <row r="19" spans="2:17" s="23" customFormat="1" x14ac:dyDescent="0.3">
      <c r="B19" s="12"/>
      <c r="C19" s="13" t="s">
        <v>222</v>
      </c>
      <c r="D19" s="3"/>
      <c r="E19" s="3"/>
      <c r="F19" s="3"/>
      <c r="G19" s="3"/>
      <c r="H19" s="3"/>
      <c r="I19" s="3"/>
      <c r="J19" s="3"/>
      <c r="K19" s="3"/>
      <c r="N19" s="84" t="s">
        <v>225</v>
      </c>
      <c r="O19" s="84" t="s">
        <v>225</v>
      </c>
      <c r="P19" s="84" t="s">
        <v>225</v>
      </c>
      <c r="Q19" s="84" t="s">
        <v>225</v>
      </c>
    </row>
    <row r="20" spans="2:17" s="23" customFormat="1" x14ac:dyDescent="0.3">
      <c r="B20" s="156" t="s">
        <v>3</v>
      </c>
      <c r="C20" s="157"/>
      <c r="D20" s="157"/>
      <c r="E20" s="157"/>
      <c r="F20" s="157"/>
      <c r="G20" s="157"/>
      <c r="H20" s="157"/>
      <c r="I20" s="157"/>
      <c r="J20" s="157"/>
      <c r="K20" s="158"/>
      <c r="N20" s="86">
        <f>VLOOKUP($B20,ref_var!$A$2:$B$6,2,FALSE)</f>
        <v>35</v>
      </c>
      <c r="O20" s="86">
        <f>VLOOKUP($B20,ref_var!$A$2:$B$6,2,FALSE)</f>
        <v>35</v>
      </c>
      <c r="P20" s="86">
        <f>VLOOKUP($B20,ref_var!$A$2:$B$6,2,FALSE)</f>
        <v>35</v>
      </c>
      <c r="Q20" s="86">
        <f>VLOOKUP($B20,ref_var!$A$2:$B$6,2,FALSE)</f>
        <v>35</v>
      </c>
    </row>
    <row r="21" spans="2:17" s="23" customFormat="1" x14ac:dyDescent="0.3">
      <c r="B21" s="10"/>
      <c r="C21" s="11" t="s">
        <v>1</v>
      </c>
      <c r="D21" s="2"/>
      <c r="E21" s="2"/>
      <c r="F21" s="2"/>
      <c r="G21" s="2"/>
      <c r="H21" s="2"/>
      <c r="I21" s="2"/>
      <c r="J21" s="2"/>
      <c r="K21" s="2"/>
      <c r="N21" s="83"/>
      <c r="O21" s="83"/>
      <c r="P21" s="83"/>
      <c r="Q21" s="83"/>
    </row>
    <row r="22" spans="2:17" s="23" customFormat="1" x14ac:dyDescent="0.3">
      <c r="B22" s="10"/>
      <c r="C22" s="11" t="s">
        <v>26</v>
      </c>
      <c r="D22" s="2"/>
      <c r="E22" s="2"/>
      <c r="F22" s="2"/>
      <c r="G22" s="2"/>
      <c r="H22" s="2"/>
      <c r="I22" s="2"/>
      <c r="J22" s="2"/>
      <c r="K22" s="2"/>
      <c r="N22" s="83"/>
      <c r="O22" s="83"/>
      <c r="P22" s="83"/>
      <c r="Q22" s="83"/>
    </row>
    <row r="23" spans="2:17" s="23" customFormat="1" x14ac:dyDescent="0.3">
      <c r="B23" s="10"/>
      <c r="C23" s="11" t="s">
        <v>25</v>
      </c>
      <c r="D23" s="2"/>
      <c r="E23" s="2"/>
      <c r="F23" s="2"/>
      <c r="G23" s="2"/>
      <c r="H23" s="2"/>
      <c r="I23" s="2"/>
      <c r="J23" s="2"/>
      <c r="K23" s="2"/>
      <c r="N23" s="83"/>
      <c r="O23" s="83"/>
      <c r="P23" s="83"/>
      <c r="Q23" s="83"/>
    </row>
    <row r="24" spans="2:17" s="23" customFormat="1" x14ac:dyDescent="0.3">
      <c r="B24" s="10"/>
      <c r="C24" s="11" t="s">
        <v>275</v>
      </c>
      <c r="D24" s="2"/>
      <c r="E24" s="2"/>
      <c r="F24" s="2"/>
      <c r="G24" s="2"/>
      <c r="H24" s="2"/>
      <c r="I24" s="2"/>
      <c r="J24" s="2"/>
      <c r="K24" s="2"/>
      <c r="N24" s="83"/>
      <c r="O24" s="83"/>
      <c r="P24" s="83"/>
      <c r="Q24" s="83"/>
    </row>
    <row r="25" spans="2:17" s="23" customFormat="1" x14ac:dyDescent="0.3">
      <c r="B25" s="10"/>
      <c r="C25" s="11" t="s">
        <v>2</v>
      </c>
      <c r="D25" s="2"/>
      <c r="E25" s="2"/>
      <c r="F25" s="2"/>
      <c r="G25" s="2"/>
      <c r="H25" s="2"/>
      <c r="I25" s="2"/>
      <c r="J25" s="2"/>
      <c r="K25" s="2"/>
      <c r="N25" s="83"/>
      <c r="O25" s="83"/>
      <c r="P25" s="83"/>
      <c r="Q25" s="83"/>
    </row>
    <row r="26" spans="2:17" s="23" customFormat="1" x14ac:dyDescent="0.3">
      <c r="B26" s="12"/>
      <c r="C26" s="13" t="s">
        <v>277</v>
      </c>
      <c r="D26" s="3"/>
      <c r="E26" s="3"/>
      <c r="F26" s="3"/>
      <c r="G26" s="3"/>
      <c r="H26" s="3"/>
      <c r="I26" s="3"/>
      <c r="J26" s="3"/>
      <c r="K26" s="3"/>
      <c r="N26" s="83">
        <f>D26*N20</f>
        <v>0</v>
      </c>
      <c r="O26" s="83">
        <f>F26*O20</f>
        <v>0</v>
      </c>
      <c r="P26" s="83">
        <f>H26*P20</f>
        <v>0</v>
      </c>
      <c r="Q26" s="83">
        <f>J26*Q20</f>
        <v>0</v>
      </c>
    </row>
    <row r="27" spans="2:17" s="23" customFormat="1" x14ac:dyDescent="0.3">
      <c r="B27" s="156" t="s">
        <v>4</v>
      </c>
      <c r="C27" s="157"/>
      <c r="D27" s="157"/>
      <c r="E27" s="157"/>
      <c r="F27" s="157"/>
      <c r="G27" s="157"/>
      <c r="H27" s="157"/>
      <c r="I27" s="157"/>
      <c r="J27" s="157"/>
      <c r="K27" s="158"/>
      <c r="N27" s="86">
        <f>VLOOKUP($B27,ref_var!$A$2:$B$6,2,FALSE)</f>
        <v>45</v>
      </c>
      <c r="O27" s="86">
        <f>VLOOKUP($B27,ref_var!$A$2:$B$6,2,FALSE)</f>
        <v>45</v>
      </c>
      <c r="P27" s="86">
        <f>VLOOKUP($B27,ref_var!$A$2:$B$6,2,FALSE)</f>
        <v>45</v>
      </c>
      <c r="Q27" s="86">
        <f>VLOOKUP($B27,ref_var!$A$2:$B$6,2,FALSE)</f>
        <v>45</v>
      </c>
    </row>
    <row r="28" spans="2:17" s="23" customFormat="1" x14ac:dyDescent="0.3">
      <c r="B28" s="10"/>
      <c r="C28" s="11" t="s">
        <v>1</v>
      </c>
      <c r="D28" s="2"/>
      <c r="E28" s="2"/>
      <c r="F28" s="2"/>
      <c r="G28" s="2"/>
      <c r="H28" s="2"/>
      <c r="I28" s="2"/>
      <c r="J28" s="2"/>
      <c r="K28" s="2"/>
      <c r="N28" s="83"/>
      <c r="O28" s="83"/>
      <c r="P28" s="83"/>
      <c r="Q28" s="83"/>
    </row>
    <row r="29" spans="2:17" s="23" customFormat="1" x14ac:dyDescent="0.3">
      <c r="B29" s="10"/>
      <c r="C29" s="11" t="s">
        <v>26</v>
      </c>
      <c r="D29" s="2"/>
      <c r="E29" s="2"/>
      <c r="F29" s="2"/>
      <c r="G29" s="2"/>
      <c r="H29" s="2"/>
      <c r="I29" s="2"/>
      <c r="J29" s="2"/>
      <c r="K29" s="2"/>
      <c r="N29" s="83"/>
      <c r="O29" s="83"/>
      <c r="P29" s="83"/>
      <c r="Q29" s="83"/>
    </row>
    <row r="30" spans="2:17" s="23" customFormat="1" x14ac:dyDescent="0.3">
      <c r="B30" s="10"/>
      <c r="C30" s="11" t="s">
        <v>25</v>
      </c>
      <c r="D30" s="2"/>
      <c r="E30" s="2"/>
      <c r="F30" s="2"/>
      <c r="G30" s="2"/>
      <c r="H30" s="2"/>
      <c r="I30" s="2"/>
      <c r="J30" s="2"/>
      <c r="K30" s="2"/>
      <c r="N30" s="83"/>
      <c r="O30" s="83"/>
      <c r="P30" s="83"/>
      <c r="Q30" s="83"/>
    </row>
    <row r="31" spans="2:17" s="23" customFormat="1" x14ac:dyDescent="0.3">
      <c r="B31" s="10"/>
      <c r="C31" s="11" t="s">
        <v>275</v>
      </c>
      <c r="D31" s="2"/>
      <c r="E31" s="2"/>
      <c r="F31" s="2"/>
      <c r="G31" s="2"/>
      <c r="H31" s="2"/>
      <c r="I31" s="2"/>
      <c r="J31" s="2"/>
      <c r="K31" s="2"/>
      <c r="N31" s="83"/>
      <c r="O31" s="83"/>
      <c r="P31" s="83"/>
      <c r="Q31" s="83"/>
    </row>
    <row r="32" spans="2:17" s="23" customFormat="1" x14ac:dyDescent="0.3">
      <c r="B32" s="10"/>
      <c r="C32" s="11" t="s">
        <v>2</v>
      </c>
      <c r="D32" s="2"/>
      <c r="E32" s="2"/>
      <c r="F32" s="2"/>
      <c r="G32" s="2"/>
      <c r="H32" s="2"/>
      <c r="I32" s="2"/>
      <c r="J32" s="2"/>
      <c r="K32" s="2"/>
      <c r="N32" s="83"/>
      <c r="O32" s="83"/>
      <c r="P32" s="83"/>
      <c r="Q32" s="83"/>
    </row>
    <row r="33" spans="2:17" s="23" customFormat="1" x14ac:dyDescent="0.3">
      <c r="B33" s="12"/>
      <c r="C33" s="13" t="s">
        <v>277</v>
      </c>
      <c r="D33" s="3"/>
      <c r="E33" s="3"/>
      <c r="F33" s="3"/>
      <c r="G33" s="3"/>
      <c r="H33" s="3"/>
      <c r="I33" s="3"/>
      <c r="J33" s="3"/>
      <c r="K33" s="3"/>
      <c r="N33" s="83">
        <f>D33*N27</f>
        <v>0</v>
      </c>
      <c r="O33" s="83">
        <f>F33*O27</f>
        <v>0</v>
      </c>
      <c r="P33" s="83">
        <f>H33*P27</f>
        <v>0</v>
      </c>
      <c r="Q33" s="83">
        <f>J33*Q27</f>
        <v>0</v>
      </c>
    </row>
    <row r="34" spans="2:17" s="23" customFormat="1" x14ac:dyDescent="0.3">
      <c r="B34" s="156" t="s">
        <v>5</v>
      </c>
      <c r="C34" s="157"/>
      <c r="D34" s="157"/>
      <c r="E34" s="157"/>
      <c r="F34" s="157"/>
      <c r="G34" s="157"/>
      <c r="H34" s="157"/>
      <c r="I34" s="157"/>
      <c r="J34" s="157"/>
      <c r="K34" s="158"/>
      <c r="N34" s="86">
        <f>VLOOKUP($B34,ref_var!$A$2:$B$6,2,FALSE)</f>
        <v>65</v>
      </c>
      <c r="O34" s="86">
        <f>VLOOKUP($B34,ref_var!$A$2:$B$6,2,FALSE)</f>
        <v>65</v>
      </c>
      <c r="P34" s="86">
        <f>VLOOKUP($B34,ref_var!$A$2:$B$6,2,FALSE)</f>
        <v>65</v>
      </c>
      <c r="Q34" s="86">
        <f>VLOOKUP($B34,ref_var!$A$2:$B$6,2,FALSE)</f>
        <v>65</v>
      </c>
    </row>
    <row r="35" spans="2:17" s="23" customFormat="1" x14ac:dyDescent="0.3">
      <c r="B35" s="10"/>
      <c r="C35" s="11" t="s">
        <v>1</v>
      </c>
      <c r="D35" s="2"/>
      <c r="E35" s="2"/>
      <c r="F35" s="2"/>
      <c r="G35" s="2"/>
      <c r="H35" s="2"/>
      <c r="I35" s="2"/>
      <c r="J35" s="2"/>
      <c r="K35" s="2"/>
      <c r="N35" s="83"/>
      <c r="O35" s="83"/>
      <c r="P35" s="83"/>
      <c r="Q35" s="83"/>
    </row>
    <row r="36" spans="2:17" s="23" customFormat="1" x14ac:dyDescent="0.3">
      <c r="B36" s="10"/>
      <c r="C36" s="11" t="s">
        <v>26</v>
      </c>
      <c r="D36" s="2"/>
      <c r="E36" s="2"/>
      <c r="F36" s="2"/>
      <c r="G36" s="2"/>
      <c r="H36" s="2"/>
      <c r="I36" s="2"/>
      <c r="J36" s="2"/>
      <c r="K36" s="2"/>
      <c r="N36" s="83"/>
      <c r="O36" s="83"/>
      <c r="P36" s="83"/>
      <c r="Q36" s="83"/>
    </row>
    <row r="37" spans="2:17" s="23" customFormat="1" x14ac:dyDescent="0.3">
      <c r="B37" s="10"/>
      <c r="C37" s="11" t="s">
        <v>25</v>
      </c>
      <c r="D37" s="2"/>
      <c r="E37" s="2"/>
      <c r="F37" s="2"/>
      <c r="G37" s="2"/>
      <c r="H37" s="2"/>
      <c r="I37" s="2"/>
      <c r="J37" s="2"/>
      <c r="K37" s="2"/>
      <c r="N37" s="83"/>
      <c r="O37" s="83"/>
      <c r="P37" s="83"/>
      <c r="Q37" s="83"/>
    </row>
    <row r="38" spans="2:17" s="23" customFormat="1" x14ac:dyDescent="0.3">
      <c r="B38" s="10"/>
      <c r="C38" s="11" t="s">
        <v>275</v>
      </c>
      <c r="D38" s="2"/>
      <c r="E38" s="2"/>
      <c r="F38" s="2"/>
      <c r="G38" s="2"/>
      <c r="H38" s="2"/>
      <c r="I38" s="2"/>
      <c r="J38" s="2"/>
      <c r="K38" s="2"/>
      <c r="N38" s="83"/>
      <c r="O38" s="83"/>
      <c r="P38" s="83"/>
      <c r="Q38" s="83"/>
    </row>
    <row r="39" spans="2:17" s="23" customFormat="1" x14ac:dyDescent="0.3">
      <c r="B39" s="10"/>
      <c r="C39" s="11" t="s">
        <v>2</v>
      </c>
      <c r="D39" s="2"/>
      <c r="E39" s="2"/>
      <c r="F39" s="2"/>
      <c r="G39" s="2"/>
      <c r="H39" s="2"/>
      <c r="I39" s="2"/>
      <c r="J39" s="2"/>
      <c r="K39" s="2"/>
      <c r="N39" s="83"/>
      <c r="O39" s="83"/>
      <c r="P39" s="83"/>
      <c r="Q39" s="83"/>
    </row>
    <row r="40" spans="2:17" s="23" customFormat="1" x14ac:dyDescent="0.3">
      <c r="B40" s="12"/>
      <c r="C40" s="13" t="s">
        <v>277</v>
      </c>
      <c r="D40" s="3"/>
      <c r="E40" s="3"/>
      <c r="F40" s="3"/>
      <c r="G40" s="3"/>
      <c r="H40" s="3"/>
      <c r="I40" s="3"/>
      <c r="J40" s="3"/>
      <c r="K40" s="3"/>
      <c r="N40" s="83">
        <f>D40*N34</f>
        <v>0</v>
      </c>
      <c r="O40" s="83">
        <f>F40*O34</f>
        <v>0</v>
      </c>
      <c r="P40" s="83">
        <f>H40*P34</f>
        <v>0</v>
      </c>
      <c r="Q40" s="83">
        <f>J40*Q34</f>
        <v>0</v>
      </c>
    </row>
    <row r="41" spans="2:17" s="23" customFormat="1" x14ac:dyDescent="0.3">
      <c r="B41" s="156" t="s">
        <v>10</v>
      </c>
      <c r="C41" s="157"/>
      <c r="D41" s="157"/>
      <c r="E41" s="157"/>
      <c r="F41" s="157"/>
      <c r="G41" s="157"/>
      <c r="H41" s="157"/>
      <c r="I41" s="157"/>
      <c r="J41" s="157"/>
      <c r="K41" s="158"/>
      <c r="N41" s="86">
        <f>VLOOKUP($B41,ref_var!$A$2:$B$6,2,FALSE)</f>
        <v>104</v>
      </c>
      <c r="O41" s="86">
        <f>VLOOKUP($B41,ref_var!$A$2:$B$6,2,FALSE)</f>
        <v>104</v>
      </c>
      <c r="P41" s="86">
        <f>VLOOKUP($B41,ref_var!$A$2:$B$6,2,FALSE)</f>
        <v>104</v>
      </c>
      <c r="Q41" s="86">
        <f>VLOOKUP($B41,ref_var!$A$2:$B$6,2,FALSE)</f>
        <v>104</v>
      </c>
    </row>
    <row r="42" spans="2:17" s="23" customFormat="1" x14ac:dyDescent="0.3">
      <c r="B42" s="10"/>
      <c r="C42" s="11" t="s">
        <v>1</v>
      </c>
      <c r="D42" s="2"/>
      <c r="E42" s="2"/>
      <c r="F42" s="2"/>
      <c r="G42" s="2"/>
      <c r="H42" s="2"/>
      <c r="I42" s="2"/>
      <c r="J42" s="2"/>
      <c r="K42" s="2"/>
      <c r="N42" s="83"/>
      <c r="O42" s="83"/>
      <c r="P42" s="83"/>
      <c r="Q42" s="83"/>
    </row>
    <row r="43" spans="2:17" s="23" customFormat="1" x14ac:dyDescent="0.3">
      <c r="B43" s="10"/>
      <c r="C43" s="11" t="s">
        <v>26</v>
      </c>
      <c r="D43" s="2"/>
      <c r="E43" s="2"/>
      <c r="F43" s="2"/>
      <c r="G43" s="2"/>
      <c r="H43" s="2"/>
      <c r="I43" s="2"/>
      <c r="J43" s="2"/>
      <c r="K43" s="2"/>
      <c r="N43" s="83"/>
      <c r="O43" s="83"/>
      <c r="P43" s="83"/>
      <c r="Q43" s="83"/>
    </row>
    <row r="44" spans="2:17" s="23" customFormat="1" x14ac:dyDescent="0.3">
      <c r="B44" s="10"/>
      <c r="C44" s="11" t="s">
        <v>25</v>
      </c>
      <c r="D44" s="2"/>
      <c r="E44" s="2"/>
      <c r="F44" s="2"/>
      <c r="G44" s="2"/>
      <c r="H44" s="2"/>
      <c r="I44" s="2"/>
      <c r="J44" s="2"/>
      <c r="K44" s="2"/>
      <c r="N44" s="83"/>
      <c r="O44" s="83"/>
      <c r="P44" s="83"/>
      <c r="Q44" s="83"/>
    </row>
    <row r="45" spans="2:17" s="23" customFormat="1" x14ac:dyDescent="0.3">
      <c r="B45" s="10"/>
      <c r="C45" s="11" t="s">
        <v>275</v>
      </c>
      <c r="D45" s="2"/>
      <c r="E45" s="2"/>
      <c r="F45" s="2"/>
      <c r="G45" s="2"/>
      <c r="H45" s="2"/>
      <c r="I45" s="2"/>
      <c r="J45" s="2"/>
      <c r="K45" s="2"/>
      <c r="N45" s="83"/>
      <c r="O45" s="83"/>
      <c r="P45" s="83"/>
      <c r="Q45" s="83"/>
    </row>
    <row r="46" spans="2:17" s="23" customFormat="1" x14ac:dyDescent="0.3">
      <c r="B46" s="10"/>
      <c r="C46" s="11" t="s">
        <v>2</v>
      </c>
      <c r="D46" s="2"/>
      <c r="E46" s="2"/>
      <c r="F46" s="2"/>
      <c r="G46" s="2"/>
      <c r="H46" s="2"/>
      <c r="I46" s="2"/>
      <c r="J46" s="2"/>
      <c r="K46" s="2"/>
      <c r="N46" s="83"/>
      <c r="O46" s="83"/>
      <c r="P46" s="83"/>
      <c r="Q46" s="83"/>
    </row>
    <row r="47" spans="2:17" s="23" customFormat="1" x14ac:dyDescent="0.3">
      <c r="B47" s="12"/>
      <c r="C47" s="13" t="s">
        <v>277</v>
      </c>
      <c r="D47" s="3"/>
      <c r="E47" s="3"/>
      <c r="F47" s="3"/>
      <c r="G47" s="3"/>
      <c r="H47" s="3"/>
      <c r="I47" s="3"/>
      <c r="J47" s="3"/>
      <c r="K47" s="3"/>
      <c r="N47" s="83">
        <f>D47*N41</f>
        <v>0</v>
      </c>
      <c r="O47" s="83">
        <f>F47*O41</f>
        <v>0</v>
      </c>
      <c r="P47" s="83">
        <f>H47*P41</f>
        <v>0</v>
      </c>
      <c r="Q47" s="83">
        <f>J47*Q41</f>
        <v>0</v>
      </c>
    </row>
    <row r="48" spans="2:17" s="23" customFormat="1" x14ac:dyDescent="0.3">
      <c r="B48" s="156" t="s">
        <v>6</v>
      </c>
      <c r="C48" s="157"/>
      <c r="D48" s="157"/>
      <c r="E48" s="157"/>
      <c r="F48" s="157"/>
      <c r="G48" s="157"/>
      <c r="H48" s="157"/>
      <c r="I48" s="157"/>
      <c r="J48" s="157"/>
      <c r="K48" s="158"/>
      <c r="N48" s="86">
        <f>VLOOKUP($B48,ref_var!$A$2:$B$6,2,FALSE)</f>
        <v>46</v>
      </c>
      <c r="O48" s="86">
        <f>VLOOKUP($B48,ref_var!$A$2:$B$6,2,FALSE)</f>
        <v>46</v>
      </c>
      <c r="P48" s="86">
        <f>VLOOKUP($B48,ref_var!$A$2:$B$6,2,FALSE)</f>
        <v>46</v>
      </c>
      <c r="Q48" s="86">
        <f>VLOOKUP($B48,ref_var!$A$2:$B$6,2,FALSE)</f>
        <v>46</v>
      </c>
    </row>
    <row r="49" spans="2:17" s="23" customFormat="1" x14ac:dyDescent="0.3">
      <c r="B49" s="10"/>
      <c r="C49" s="11" t="s">
        <v>1</v>
      </c>
      <c r="D49" s="2"/>
      <c r="E49" s="2"/>
      <c r="F49" s="2"/>
      <c r="G49" s="2"/>
      <c r="H49" s="2"/>
      <c r="I49" s="2"/>
      <c r="J49" s="2"/>
      <c r="K49" s="2"/>
      <c r="N49" s="83"/>
      <c r="O49" s="83"/>
      <c r="P49" s="83"/>
      <c r="Q49" s="83"/>
    </row>
    <row r="50" spans="2:17" s="23" customFormat="1" x14ac:dyDescent="0.3">
      <c r="B50" s="10"/>
      <c r="C50" s="11" t="s">
        <v>26</v>
      </c>
      <c r="D50" s="2"/>
      <c r="E50" s="2"/>
      <c r="F50" s="2"/>
      <c r="G50" s="2"/>
      <c r="H50" s="2"/>
      <c r="I50" s="2"/>
      <c r="J50" s="2"/>
      <c r="K50" s="2"/>
      <c r="N50" s="83"/>
      <c r="O50" s="83"/>
      <c r="P50" s="83"/>
      <c r="Q50" s="83"/>
    </row>
    <row r="51" spans="2:17" s="23" customFormat="1" x14ac:dyDescent="0.3">
      <c r="B51" s="10"/>
      <c r="C51" s="11" t="s">
        <v>25</v>
      </c>
      <c r="D51" s="2"/>
      <c r="E51" s="2"/>
      <c r="F51" s="2"/>
      <c r="G51" s="2"/>
      <c r="H51" s="2"/>
      <c r="I51" s="2"/>
      <c r="J51" s="2"/>
      <c r="K51" s="2"/>
      <c r="N51" s="83"/>
      <c r="O51" s="83"/>
      <c r="P51" s="83"/>
      <c r="Q51" s="83"/>
    </row>
    <row r="52" spans="2:17" s="23" customFormat="1" x14ac:dyDescent="0.3">
      <c r="B52" s="10"/>
      <c r="C52" s="11" t="s">
        <v>275</v>
      </c>
      <c r="D52" s="2"/>
      <c r="E52" s="2"/>
      <c r="F52" s="2"/>
      <c r="G52" s="2"/>
      <c r="H52" s="2"/>
      <c r="I52" s="2"/>
      <c r="J52" s="2"/>
      <c r="K52" s="2"/>
      <c r="N52" s="83"/>
      <c r="O52" s="83"/>
      <c r="P52" s="83"/>
      <c r="Q52" s="83"/>
    </row>
    <row r="53" spans="2:17" s="23" customFormat="1" x14ac:dyDescent="0.3">
      <c r="B53" s="10"/>
      <c r="C53" s="11" t="s">
        <v>2</v>
      </c>
      <c r="D53" s="2"/>
      <c r="E53" s="2"/>
      <c r="F53" s="2"/>
      <c r="G53" s="2"/>
      <c r="H53" s="2"/>
      <c r="I53" s="2"/>
      <c r="J53" s="2"/>
      <c r="K53" s="2"/>
      <c r="N53" s="83"/>
      <c r="O53" s="83"/>
      <c r="P53" s="83"/>
      <c r="Q53" s="83"/>
    </row>
    <row r="54" spans="2:17" s="23" customFormat="1" x14ac:dyDescent="0.3">
      <c r="B54" s="12"/>
      <c r="C54" s="13" t="s">
        <v>277</v>
      </c>
      <c r="D54" s="3"/>
      <c r="E54" s="3"/>
      <c r="F54" s="3"/>
      <c r="G54" s="3"/>
      <c r="H54" s="3"/>
      <c r="I54" s="3"/>
      <c r="J54" s="3"/>
      <c r="K54" s="3"/>
      <c r="N54" s="83">
        <f>D54*N48</f>
        <v>0</v>
      </c>
      <c r="O54" s="83">
        <f>F54*O48</f>
        <v>0</v>
      </c>
      <c r="P54" s="83">
        <f>H54*P48</f>
        <v>0</v>
      </c>
      <c r="Q54" s="83">
        <f>J54*Q48</f>
        <v>0</v>
      </c>
    </row>
    <row r="55" spans="2:17" s="23" customFormat="1" x14ac:dyDescent="0.3">
      <c r="B55" s="166" t="s">
        <v>11</v>
      </c>
      <c r="C55" s="167"/>
      <c r="D55" s="164"/>
      <c r="E55" s="164"/>
      <c r="F55" s="164"/>
      <c r="G55" s="164"/>
      <c r="H55" s="164"/>
      <c r="I55" s="164"/>
      <c r="J55" s="164"/>
      <c r="K55" s="165"/>
      <c r="N55" s="83"/>
      <c r="O55" s="83"/>
      <c r="P55" s="83"/>
      <c r="Q55" s="83"/>
    </row>
    <row r="56" spans="2:17" s="23" customFormat="1" x14ac:dyDescent="0.3">
      <c r="B56" s="10"/>
      <c r="C56" s="11" t="s">
        <v>1</v>
      </c>
      <c r="D56" s="2"/>
      <c r="E56" s="2"/>
      <c r="F56" s="2"/>
      <c r="G56" s="2"/>
      <c r="H56" s="2"/>
      <c r="I56" s="2"/>
      <c r="J56" s="2"/>
      <c r="K56" s="2"/>
      <c r="N56" s="83"/>
      <c r="O56" s="83"/>
      <c r="P56" s="83"/>
      <c r="Q56" s="83"/>
    </row>
    <row r="57" spans="2:17" s="23" customFormat="1" x14ac:dyDescent="0.3">
      <c r="B57" s="10"/>
      <c r="C57" s="11" t="s">
        <v>26</v>
      </c>
      <c r="D57" s="2"/>
      <c r="E57" s="2"/>
      <c r="F57" s="2"/>
      <c r="G57" s="2"/>
      <c r="H57" s="2"/>
      <c r="I57" s="2"/>
      <c r="J57" s="2"/>
      <c r="K57" s="2"/>
      <c r="N57" s="83"/>
      <c r="O57" s="83"/>
      <c r="P57" s="83"/>
      <c r="Q57" s="83"/>
    </row>
    <row r="58" spans="2:17" s="23" customFormat="1" x14ac:dyDescent="0.3">
      <c r="B58" s="10"/>
      <c r="C58" s="11" t="s">
        <v>25</v>
      </c>
      <c r="D58" s="2"/>
      <c r="E58" s="2"/>
      <c r="F58" s="2"/>
      <c r="G58" s="2"/>
      <c r="H58" s="2"/>
      <c r="I58" s="2"/>
      <c r="J58" s="2"/>
      <c r="K58" s="2"/>
      <c r="N58" s="83"/>
      <c r="O58" s="83"/>
      <c r="P58" s="83"/>
      <c r="Q58" s="83"/>
    </row>
    <row r="59" spans="2:17" s="23" customFormat="1" x14ac:dyDescent="0.3">
      <c r="B59" s="10"/>
      <c r="C59" s="11" t="s">
        <v>275</v>
      </c>
      <c r="D59" s="2"/>
      <c r="E59" s="2"/>
      <c r="F59" s="2"/>
      <c r="G59" s="2"/>
      <c r="H59" s="2"/>
      <c r="I59" s="2"/>
      <c r="J59" s="2"/>
      <c r="K59" s="2"/>
      <c r="N59" s="83"/>
      <c r="O59" s="83"/>
      <c r="P59" s="83"/>
      <c r="Q59" s="83"/>
    </row>
    <row r="60" spans="2:17" s="23" customFormat="1" x14ac:dyDescent="0.3">
      <c r="B60" s="10"/>
      <c r="C60" s="11" t="s">
        <v>2</v>
      </c>
      <c r="D60" s="2"/>
      <c r="E60" s="2"/>
      <c r="F60" s="2"/>
      <c r="G60" s="2"/>
      <c r="H60" s="2"/>
      <c r="I60" s="2"/>
      <c r="J60" s="2"/>
      <c r="K60" s="2"/>
      <c r="N60" s="83"/>
      <c r="O60" s="83"/>
      <c r="P60" s="83"/>
      <c r="Q60" s="83"/>
    </row>
    <row r="61" spans="2:17" s="23" customFormat="1" x14ac:dyDescent="0.3">
      <c r="B61" s="80"/>
      <c r="C61" s="81" t="s">
        <v>277</v>
      </c>
      <c r="D61" s="82"/>
      <c r="E61" s="82"/>
      <c r="F61" s="82"/>
      <c r="G61" s="82"/>
      <c r="H61" s="82"/>
      <c r="I61" s="82"/>
      <c r="J61" s="82"/>
      <c r="K61" s="82"/>
      <c r="N61" s="83">
        <f>D61*D62</f>
        <v>0</v>
      </c>
      <c r="O61" s="83">
        <f>F61*F62</f>
        <v>0</v>
      </c>
      <c r="P61" s="83">
        <f>H61*H62</f>
        <v>0</v>
      </c>
      <c r="Q61" s="83">
        <f>J61*J62</f>
        <v>0</v>
      </c>
    </row>
    <row r="62" spans="2:17" s="23" customFormat="1" x14ac:dyDescent="0.3">
      <c r="B62" s="12"/>
      <c r="C62" s="13" t="s">
        <v>223</v>
      </c>
      <c r="D62" s="3"/>
      <c r="E62" s="3"/>
      <c r="F62" s="3"/>
      <c r="G62" s="3"/>
      <c r="H62" s="3"/>
      <c r="I62" s="3"/>
      <c r="J62" s="3"/>
      <c r="K62" s="3"/>
      <c r="N62" s="85"/>
      <c r="O62" s="85"/>
      <c r="P62" s="85"/>
      <c r="Q62" s="85"/>
    </row>
    <row r="63" spans="2:17" s="23" customFormat="1" x14ac:dyDescent="0.3">
      <c r="B63" s="166" t="s">
        <v>11</v>
      </c>
      <c r="C63" s="167"/>
      <c r="D63" s="164"/>
      <c r="E63" s="164"/>
      <c r="F63" s="164"/>
      <c r="G63" s="164"/>
      <c r="H63" s="164"/>
      <c r="I63" s="164"/>
      <c r="J63" s="164"/>
      <c r="K63" s="165"/>
      <c r="N63" s="83"/>
      <c r="O63" s="83"/>
      <c r="P63" s="83"/>
      <c r="Q63" s="83"/>
    </row>
    <row r="64" spans="2:17" s="23" customFormat="1" x14ac:dyDescent="0.3">
      <c r="B64" s="10"/>
      <c r="C64" s="11" t="s">
        <v>1</v>
      </c>
      <c r="D64" s="2"/>
      <c r="E64" s="2"/>
      <c r="F64" s="2"/>
      <c r="G64" s="2"/>
      <c r="H64" s="2"/>
      <c r="I64" s="2"/>
      <c r="J64" s="2"/>
      <c r="K64" s="2"/>
      <c r="N64" s="83"/>
      <c r="O64" s="83"/>
      <c r="P64" s="83"/>
      <c r="Q64" s="83"/>
    </row>
    <row r="65" spans="2:17" s="23" customFormat="1" x14ac:dyDescent="0.3">
      <c r="B65" s="10"/>
      <c r="C65" s="11" t="s">
        <v>26</v>
      </c>
      <c r="D65" s="2"/>
      <c r="E65" s="2"/>
      <c r="F65" s="2"/>
      <c r="G65" s="2"/>
      <c r="H65" s="2"/>
      <c r="I65" s="2"/>
      <c r="J65" s="2"/>
      <c r="K65" s="2"/>
      <c r="N65" s="83"/>
      <c r="O65" s="83"/>
      <c r="P65" s="83"/>
      <c r="Q65" s="83"/>
    </row>
    <row r="66" spans="2:17" s="23" customFormat="1" x14ac:dyDescent="0.3">
      <c r="B66" s="10"/>
      <c r="C66" s="11" t="s">
        <v>25</v>
      </c>
      <c r="D66" s="2"/>
      <c r="E66" s="2"/>
      <c r="F66" s="2"/>
      <c r="G66" s="2"/>
      <c r="H66" s="2"/>
      <c r="I66" s="2"/>
      <c r="J66" s="2"/>
      <c r="K66" s="2"/>
      <c r="N66" s="83"/>
      <c r="O66" s="83"/>
      <c r="P66" s="83"/>
      <c r="Q66" s="83"/>
    </row>
    <row r="67" spans="2:17" s="23" customFormat="1" x14ac:dyDescent="0.3">
      <c r="B67" s="10"/>
      <c r="C67" s="11" t="s">
        <v>275</v>
      </c>
      <c r="D67" s="2"/>
      <c r="E67" s="2"/>
      <c r="F67" s="2"/>
      <c r="G67" s="2"/>
      <c r="H67" s="2"/>
      <c r="I67" s="2"/>
      <c r="J67" s="2"/>
      <c r="K67" s="2"/>
      <c r="N67" s="83"/>
      <c r="O67" s="83"/>
      <c r="P67" s="83"/>
      <c r="Q67" s="83"/>
    </row>
    <row r="68" spans="2:17" s="23" customFormat="1" x14ac:dyDescent="0.3">
      <c r="B68" s="10"/>
      <c r="C68" s="11" t="s">
        <v>2</v>
      </c>
      <c r="D68" s="2"/>
      <c r="E68" s="2"/>
      <c r="F68" s="2"/>
      <c r="G68" s="2"/>
      <c r="H68" s="2"/>
      <c r="I68" s="2"/>
      <c r="J68" s="2"/>
      <c r="K68" s="2"/>
      <c r="N68" s="83"/>
      <c r="O68" s="83"/>
      <c r="P68" s="83"/>
      <c r="Q68" s="83"/>
    </row>
    <row r="69" spans="2:17" s="23" customFormat="1" x14ac:dyDescent="0.3">
      <c r="B69" s="80"/>
      <c r="C69" s="81" t="s">
        <v>277</v>
      </c>
      <c r="D69" s="82"/>
      <c r="E69" s="82"/>
      <c r="F69" s="82"/>
      <c r="G69" s="82"/>
      <c r="H69" s="82"/>
      <c r="I69" s="82"/>
      <c r="J69" s="82"/>
      <c r="K69" s="82"/>
      <c r="N69" s="83">
        <f>D69*D70</f>
        <v>0</v>
      </c>
      <c r="O69" s="83">
        <f>F69*F70</f>
        <v>0</v>
      </c>
      <c r="P69" s="83">
        <f>H69*H70</f>
        <v>0</v>
      </c>
      <c r="Q69" s="83">
        <f>J69*J70</f>
        <v>0</v>
      </c>
    </row>
    <row r="70" spans="2:17" s="23" customFormat="1" x14ac:dyDescent="0.3">
      <c r="B70" s="12"/>
      <c r="C70" s="13" t="s">
        <v>223</v>
      </c>
      <c r="D70" s="3"/>
      <c r="E70" s="3"/>
      <c r="F70" s="3"/>
      <c r="G70" s="3"/>
      <c r="H70" s="3"/>
      <c r="I70" s="3"/>
      <c r="J70" s="3"/>
      <c r="K70" s="3"/>
      <c r="N70" s="85"/>
      <c r="O70" s="85"/>
      <c r="P70" s="85"/>
      <c r="Q70" s="85"/>
    </row>
    <row r="71" spans="2:17" s="23" customFormat="1" x14ac:dyDescent="0.3">
      <c r="N71" s="83"/>
      <c r="O71" s="83"/>
      <c r="P71" s="83"/>
      <c r="Q71" s="83"/>
    </row>
    <row r="72" spans="2:17" s="23" customFormat="1" x14ac:dyDescent="0.3">
      <c r="B72" s="14" t="s">
        <v>7</v>
      </c>
      <c r="N72" s="83"/>
      <c r="O72" s="83"/>
      <c r="P72" s="83"/>
      <c r="Q72" s="83"/>
    </row>
    <row r="73" spans="2:17" s="23" customFormat="1" x14ac:dyDescent="0.3">
      <c r="B73" s="168" t="s">
        <v>280</v>
      </c>
      <c r="C73" s="163"/>
      <c r="D73" s="163"/>
      <c r="E73" s="163"/>
      <c r="F73" s="163"/>
      <c r="G73" s="163"/>
      <c r="H73" s="163"/>
      <c r="I73" s="163"/>
      <c r="J73" s="163"/>
      <c r="K73" s="163"/>
      <c r="N73" s="83"/>
      <c r="O73" s="83"/>
      <c r="P73" s="83"/>
      <c r="Q73" s="83"/>
    </row>
    <row r="74" spans="2:17" s="23" customFormat="1" x14ac:dyDescent="0.3">
      <c r="B74" s="168" t="s">
        <v>281</v>
      </c>
      <c r="C74" s="163"/>
      <c r="D74" s="163"/>
      <c r="E74" s="163"/>
      <c r="F74" s="163"/>
      <c r="G74" s="163"/>
      <c r="H74" s="163"/>
      <c r="I74" s="163"/>
      <c r="J74" s="163"/>
      <c r="K74" s="163"/>
      <c r="N74" s="83"/>
      <c r="O74" s="83"/>
      <c r="P74" s="83"/>
      <c r="Q74" s="83"/>
    </row>
    <row r="75" spans="2:17" s="23" customFormat="1" x14ac:dyDescent="0.3">
      <c r="N75" s="83"/>
      <c r="O75" s="83"/>
      <c r="P75" s="83"/>
      <c r="Q75" s="83"/>
    </row>
  </sheetData>
  <sheetProtection algorithmName="SHA-512" hashValue="ZWpeFbXsgDUjneLbtl8mGbAYOua3qIRP7diDu9RdIkbRAXEJef1NpdaSwOeTzscXO7NsSVS/Fet+N8V1MNdvSA==" saltValue="PFvGpHfCYeiqIwPMZ/bQmg==" spinCount="100000" sheet="1" objects="1" scenarios="1" selectLockedCells="1"/>
  <mergeCells count="27">
    <mergeCell ref="B9:C9"/>
    <mergeCell ref="D9:E9"/>
    <mergeCell ref="F9:G9"/>
    <mergeCell ref="H9:I9"/>
    <mergeCell ref="J9:K9"/>
    <mergeCell ref="B1:K1"/>
    <mergeCell ref="B2:K2"/>
    <mergeCell ref="B4:K4"/>
    <mergeCell ref="D6:K6"/>
    <mergeCell ref="D8:E8"/>
    <mergeCell ref="F8:G8"/>
    <mergeCell ref="H8:I8"/>
    <mergeCell ref="J8:K8"/>
    <mergeCell ref="B8:C8"/>
    <mergeCell ref="B74:K74"/>
    <mergeCell ref="B48:K48"/>
    <mergeCell ref="B55:C55"/>
    <mergeCell ref="D55:K55"/>
    <mergeCell ref="B63:C63"/>
    <mergeCell ref="D63:K63"/>
    <mergeCell ref="B41:K41"/>
    <mergeCell ref="B73:K73"/>
    <mergeCell ref="B10:C10"/>
    <mergeCell ref="B11:K11"/>
    <mergeCell ref="B20:K20"/>
    <mergeCell ref="B27:K27"/>
    <mergeCell ref="B34:K34"/>
  </mergeCells>
  <conditionalFormatting sqref="D6:K6">
    <cfRule type="cellIs" dxfId="8" priority="1" operator="equal">
      <formula>"Veuillez consulter l'onglet Instructions."</formula>
    </cfRule>
  </conditionalFormatting>
  <printOptions horizontalCentered="1"/>
  <pageMargins left="0.19685039370078741" right="0.19685039370078741" top="0.31496062992125984" bottom="0.31496062992125984" header="0.31496062992125984" footer="0.23622047244094491"/>
  <pageSetup scale="67" orientation="portrait" blackAndWhite="1" r:id="rId1"/>
  <headerFooter>
    <oddHeader>&amp;L&amp;G</oddHeader>
    <oddFooter>&amp;LMinistère des Transports, de la Mobilité durable et de l'Électrification des transports (2018-05)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5B180-89D3-47E4-A768-B41F43B86F02}">
  <sheetPr>
    <tabColor theme="9" tint="0.59999389629810485"/>
    <pageSetUpPr fitToPage="1"/>
  </sheetPr>
  <dimension ref="B1:Q74"/>
  <sheetViews>
    <sheetView showGridLines="0" zoomScaleNormal="100" workbookViewId="0">
      <selection activeCell="H12" sqref="H12"/>
    </sheetView>
  </sheetViews>
  <sheetFormatPr baseColWidth="10" defaultColWidth="11.44140625" defaultRowHeight="14.4" x14ac:dyDescent="0.3"/>
  <cols>
    <col min="1" max="2" width="1.6640625" style="23" customWidth="1"/>
    <col min="3" max="3" width="42.6640625" style="23" customWidth="1"/>
    <col min="4" max="7" width="11.5546875" style="23" hidden="1" customWidth="1"/>
    <col min="8" max="11" width="11.5546875" style="23" customWidth="1"/>
    <col min="12" max="12" width="1.6640625" style="23" customWidth="1"/>
    <col min="13" max="13" width="11.44140625" style="23"/>
    <col min="14" max="17" width="0" style="83" hidden="1" customWidth="1"/>
    <col min="18" max="16384" width="11.44140625" style="23"/>
  </cols>
  <sheetData>
    <row r="1" spans="2:17" s="126" customFormat="1" ht="18" x14ac:dyDescent="0.3">
      <c r="B1" s="145" t="s">
        <v>23</v>
      </c>
      <c r="C1" s="145"/>
      <c r="D1" s="145"/>
      <c r="E1" s="145"/>
      <c r="F1" s="145"/>
      <c r="G1" s="145"/>
      <c r="H1" s="145"/>
      <c r="I1" s="145"/>
      <c r="J1" s="145"/>
      <c r="K1" s="145"/>
      <c r="N1" s="128"/>
      <c r="O1" s="128"/>
      <c r="P1" s="128"/>
      <c r="Q1" s="128"/>
    </row>
    <row r="2" spans="2:17" ht="15.6" x14ac:dyDescent="0.3">
      <c r="B2" s="146" t="s">
        <v>40</v>
      </c>
      <c r="C2" s="146"/>
      <c r="D2" s="146"/>
      <c r="E2" s="146"/>
      <c r="F2" s="146"/>
      <c r="G2" s="146"/>
      <c r="H2" s="146"/>
      <c r="I2" s="146"/>
      <c r="J2" s="146"/>
      <c r="K2" s="146"/>
    </row>
    <row r="3" spans="2:17" ht="8.25" customHeight="1" x14ac:dyDescent="0.3">
      <c r="B3" s="6"/>
      <c r="C3" s="6"/>
      <c r="D3" s="6"/>
      <c r="E3" s="6"/>
      <c r="F3" s="6"/>
      <c r="G3" s="6"/>
      <c r="H3" s="6"/>
      <c r="I3" s="6"/>
      <c r="J3" s="6"/>
      <c r="K3" s="6"/>
    </row>
    <row r="4" spans="2:17" ht="15.6" x14ac:dyDescent="0.3">
      <c r="B4" s="147" t="s">
        <v>274</v>
      </c>
      <c r="C4" s="147"/>
      <c r="D4" s="147"/>
      <c r="E4" s="147"/>
      <c r="F4" s="147"/>
      <c r="G4" s="147"/>
      <c r="H4" s="147"/>
      <c r="I4" s="147"/>
      <c r="J4" s="147"/>
      <c r="K4" s="147"/>
    </row>
    <row r="5" spans="2:17" ht="15.6" x14ac:dyDescent="0.3">
      <c r="B5" s="6"/>
      <c r="C5" s="6"/>
      <c r="D5" s="6"/>
      <c r="E5" s="6"/>
      <c r="F5" s="6"/>
      <c r="G5" s="6"/>
      <c r="H5" s="6"/>
      <c r="I5" s="6"/>
      <c r="J5" s="6"/>
      <c r="K5" s="6"/>
    </row>
    <row r="6" spans="2:17" ht="15.6" x14ac:dyDescent="0.3">
      <c r="B6" s="6" t="s">
        <v>41</v>
      </c>
      <c r="C6" s="6"/>
      <c r="D6" s="149" t="str">
        <f>ref_var!$F$28</f>
        <v>Veuillez consulter l'onglet Instructions.</v>
      </c>
      <c r="E6" s="149"/>
      <c r="F6" s="149"/>
      <c r="G6" s="149"/>
      <c r="H6" s="149"/>
      <c r="I6" s="149"/>
      <c r="J6" s="149"/>
      <c r="K6" s="149"/>
    </row>
    <row r="8" spans="2:17" ht="30" customHeight="1" x14ac:dyDescent="0.3">
      <c r="B8" s="152" t="s">
        <v>320</v>
      </c>
      <c r="C8" s="153"/>
      <c r="D8" s="150">
        <f>ref_ges!A4</f>
        <v>2021</v>
      </c>
      <c r="E8" s="151"/>
      <c r="F8" s="150">
        <f>ref_ges!A5</f>
        <v>2022</v>
      </c>
      <c r="G8" s="151"/>
      <c r="H8" s="150">
        <f>ref_ges!A6</f>
        <v>2023</v>
      </c>
      <c r="I8" s="151"/>
      <c r="J8" s="150">
        <f>ref_ges!A7</f>
        <v>2024</v>
      </c>
      <c r="K8" s="151"/>
      <c r="N8" s="83">
        <f>ref_ges!A4</f>
        <v>2021</v>
      </c>
      <c r="O8" s="83">
        <f>ref_ges!A5</f>
        <v>2022</v>
      </c>
      <c r="P8" s="83">
        <f>ref_ges!A6</f>
        <v>2023</v>
      </c>
      <c r="Q8" s="83">
        <f>ref_ges!A7</f>
        <v>2024</v>
      </c>
    </row>
    <row r="9" spans="2:17" x14ac:dyDescent="0.3">
      <c r="B9" s="159" t="s">
        <v>218</v>
      </c>
      <c r="C9" s="160"/>
      <c r="D9" s="154"/>
      <c r="E9" s="155"/>
      <c r="F9" s="154"/>
      <c r="G9" s="155"/>
      <c r="H9" s="154"/>
      <c r="I9" s="155"/>
      <c r="J9" s="154"/>
      <c r="K9" s="155"/>
    </row>
    <row r="10" spans="2:17" ht="27.6" x14ac:dyDescent="0.3">
      <c r="B10" s="161" t="s">
        <v>21</v>
      </c>
      <c r="C10" s="162"/>
      <c r="D10" s="19" t="s">
        <v>9</v>
      </c>
      <c r="E10" s="19" t="s">
        <v>24</v>
      </c>
      <c r="F10" s="19" t="s">
        <v>9</v>
      </c>
      <c r="G10" s="19" t="s">
        <v>24</v>
      </c>
      <c r="H10" s="19" t="s">
        <v>9</v>
      </c>
      <c r="I10" s="19" t="s">
        <v>24</v>
      </c>
      <c r="J10" s="19" t="s">
        <v>9</v>
      </c>
      <c r="K10" s="19" t="s">
        <v>24</v>
      </c>
      <c r="N10" s="83">
        <f>N26+N33+N40+N47+N54+N61+N69</f>
        <v>0</v>
      </c>
      <c r="O10" s="83">
        <f t="shared" ref="O10:Q10" si="0">O26+O33+O40+O47+O54+O61+O69</f>
        <v>0</v>
      </c>
      <c r="P10" s="83">
        <f t="shared" si="0"/>
        <v>0</v>
      </c>
      <c r="Q10" s="83">
        <f t="shared" si="0"/>
        <v>0</v>
      </c>
    </row>
    <row r="11" spans="2:17" x14ac:dyDescent="0.3">
      <c r="B11" s="156" t="s">
        <v>0</v>
      </c>
      <c r="C11" s="157"/>
      <c r="D11" s="157"/>
      <c r="E11" s="157"/>
      <c r="F11" s="157"/>
      <c r="G11" s="157"/>
      <c r="H11" s="157"/>
      <c r="I11" s="157"/>
      <c r="J11" s="157"/>
      <c r="K11" s="158"/>
      <c r="N11" s="83" t="s">
        <v>224</v>
      </c>
      <c r="O11" s="83" t="s">
        <v>224</v>
      </c>
      <c r="P11" s="83" t="s">
        <v>224</v>
      </c>
      <c r="Q11" s="83" t="s">
        <v>224</v>
      </c>
    </row>
    <row r="12" spans="2:17" x14ac:dyDescent="0.3">
      <c r="B12" s="8"/>
      <c r="C12" s="9" t="s">
        <v>22</v>
      </c>
      <c r="D12" s="1"/>
      <c r="E12" s="1"/>
      <c r="F12" s="1"/>
      <c r="G12" s="1"/>
      <c r="H12" s="1"/>
      <c r="I12" s="1"/>
      <c r="J12" s="1"/>
      <c r="K12" s="1"/>
    </row>
    <row r="13" spans="2:17" x14ac:dyDescent="0.3">
      <c r="B13" s="10"/>
      <c r="C13" s="11" t="s">
        <v>1</v>
      </c>
      <c r="D13" s="18"/>
      <c r="E13" s="2"/>
      <c r="F13" s="2"/>
      <c r="G13" s="2"/>
      <c r="H13" s="2"/>
      <c r="I13" s="2"/>
      <c r="J13" s="2"/>
      <c r="K13" s="2"/>
    </row>
    <row r="14" spans="2:17" x14ac:dyDescent="0.3">
      <c r="B14" s="10"/>
      <c r="C14" s="11" t="s">
        <v>25</v>
      </c>
      <c r="D14" s="18"/>
      <c r="E14" s="2"/>
      <c r="F14" s="2"/>
      <c r="G14" s="2"/>
      <c r="H14" s="2"/>
      <c r="I14" s="2"/>
      <c r="J14" s="2"/>
      <c r="K14" s="2"/>
    </row>
    <row r="15" spans="2:17" x14ac:dyDescent="0.3">
      <c r="B15" s="10"/>
      <c r="C15" s="11" t="s">
        <v>275</v>
      </c>
      <c r="D15" s="2"/>
      <c r="E15" s="2"/>
      <c r="F15" s="2"/>
      <c r="G15" s="2"/>
      <c r="H15" s="2"/>
      <c r="I15" s="2"/>
      <c r="J15" s="2"/>
      <c r="K15" s="2"/>
    </row>
    <row r="16" spans="2:17" x14ac:dyDescent="0.3">
      <c r="B16" s="10"/>
      <c r="C16" s="11" t="s">
        <v>2</v>
      </c>
      <c r="D16" s="2"/>
      <c r="E16" s="2"/>
      <c r="F16" s="2"/>
      <c r="G16" s="2"/>
      <c r="H16" s="2"/>
      <c r="I16" s="2"/>
      <c r="J16" s="2"/>
      <c r="K16" s="2"/>
    </row>
    <row r="17" spans="2:17" x14ac:dyDescent="0.3">
      <c r="B17" s="10"/>
      <c r="C17" s="11" t="s">
        <v>276</v>
      </c>
      <c r="D17" s="2"/>
      <c r="E17" s="2"/>
      <c r="F17" s="2"/>
      <c r="G17" s="24"/>
      <c r="H17" s="2"/>
      <c r="I17" s="2"/>
      <c r="J17" s="2"/>
      <c r="K17" s="2"/>
    </row>
    <row r="18" spans="2:17" x14ac:dyDescent="0.3">
      <c r="B18" s="10"/>
      <c r="C18" s="11" t="s">
        <v>221</v>
      </c>
      <c r="D18" s="2"/>
      <c r="E18" s="2"/>
      <c r="F18" s="2"/>
      <c r="G18" s="2"/>
      <c r="H18" s="2"/>
      <c r="I18" s="2"/>
      <c r="J18" s="2"/>
      <c r="K18" s="2"/>
      <c r="N18" s="84" t="s">
        <v>225</v>
      </c>
      <c r="O18" s="84" t="s">
        <v>225</v>
      </c>
      <c r="P18" s="84" t="s">
        <v>225</v>
      </c>
      <c r="Q18" s="84" t="s">
        <v>225</v>
      </c>
    </row>
    <row r="19" spans="2:17" x14ac:dyDescent="0.3">
      <c r="B19" s="12"/>
      <c r="C19" s="13" t="s">
        <v>222</v>
      </c>
      <c r="D19" s="3"/>
      <c r="E19" s="3"/>
      <c r="F19" s="3"/>
      <c r="G19" s="3"/>
      <c r="H19" s="3"/>
      <c r="I19" s="3"/>
      <c r="J19" s="3"/>
      <c r="K19" s="3"/>
      <c r="N19" s="84" t="s">
        <v>225</v>
      </c>
      <c r="O19" s="84" t="s">
        <v>225</v>
      </c>
      <c r="P19" s="84" t="s">
        <v>225</v>
      </c>
      <c r="Q19" s="84" t="s">
        <v>225</v>
      </c>
    </row>
    <row r="20" spans="2:17" x14ac:dyDescent="0.3">
      <c r="B20" s="156" t="s">
        <v>3</v>
      </c>
      <c r="C20" s="157"/>
      <c r="D20" s="157"/>
      <c r="E20" s="157"/>
      <c r="F20" s="157"/>
      <c r="G20" s="157"/>
      <c r="H20" s="157"/>
      <c r="I20" s="157"/>
      <c r="J20" s="157"/>
      <c r="K20" s="158"/>
      <c r="N20" s="86">
        <f>VLOOKUP($B20,ref_var!$A$2:$B$6,2,FALSE)</f>
        <v>35</v>
      </c>
      <c r="O20" s="86">
        <f>VLOOKUP($B20,ref_var!$A$2:$B$6,2,FALSE)</f>
        <v>35</v>
      </c>
      <c r="P20" s="86">
        <f>VLOOKUP($B20,ref_var!$A$2:$B$6,2,FALSE)</f>
        <v>35</v>
      </c>
      <c r="Q20" s="86">
        <f>VLOOKUP($B20,ref_var!$A$2:$B$6,2,FALSE)</f>
        <v>35</v>
      </c>
    </row>
    <row r="21" spans="2:17" x14ac:dyDescent="0.3">
      <c r="B21" s="10"/>
      <c r="C21" s="11" t="s">
        <v>1</v>
      </c>
      <c r="D21" s="2"/>
      <c r="E21" s="2"/>
      <c r="F21" s="2"/>
      <c r="G21" s="2"/>
      <c r="H21" s="2"/>
      <c r="I21" s="2"/>
      <c r="J21" s="2"/>
      <c r="K21" s="2"/>
    </row>
    <row r="22" spans="2:17" x14ac:dyDescent="0.3">
      <c r="B22" s="10"/>
      <c r="C22" s="11" t="s">
        <v>26</v>
      </c>
      <c r="D22" s="2"/>
      <c r="E22" s="2"/>
      <c r="F22" s="2"/>
      <c r="G22" s="2"/>
      <c r="H22" s="2"/>
      <c r="I22" s="2"/>
      <c r="J22" s="2"/>
      <c r="K22" s="2"/>
    </row>
    <row r="23" spans="2:17" x14ac:dyDescent="0.3">
      <c r="B23" s="10"/>
      <c r="C23" s="11" t="s">
        <v>25</v>
      </c>
      <c r="D23" s="2"/>
      <c r="E23" s="2"/>
      <c r="F23" s="2"/>
      <c r="G23" s="2"/>
      <c r="H23" s="2"/>
      <c r="I23" s="2"/>
      <c r="J23" s="2"/>
      <c r="K23" s="2"/>
    </row>
    <row r="24" spans="2:17" x14ac:dyDescent="0.3">
      <c r="B24" s="10"/>
      <c r="C24" s="11" t="s">
        <v>275</v>
      </c>
      <c r="D24" s="2"/>
      <c r="E24" s="2"/>
      <c r="F24" s="2"/>
      <c r="G24" s="2"/>
      <c r="H24" s="2"/>
      <c r="I24" s="2"/>
      <c r="J24" s="2"/>
      <c r="K24" s="2"/>
    </row>
    <row r="25" spans="2:17" x14ac:dyDescent="0.3">
      <c r="B25" s="10"/>
      <c r="C25" s="11" t="s">
        <v>2</v>
      </c>
      <c r="D25" s="2"/>
      <c r="E25" s="2"/>
      <c r="F25" s="2"/>
      <c r="G25" s="2"/>
      <c r="H25" s="2"/>
      <c r="I25" s="2"/>
      <c r="J25" s="2"/>
      <c r="K25" s="2"/>
    </row>
    <row r="26" spans="2:17" x14ac:dyDescent="0.3">
      <c r="B26" s="12"/>
      <c r="C26" s="13" t="s">
        <v>277</v>
      </c>
      <c r="D26" s="3"/>
      <c r="E26" s="3"/>
      <c r="F26" s="3"/>
      <c r="G26" s="3"/>
      <c r="H26" s="3"/>
      <c r="I26" s="3"/>
      <c r="J26" s="3"/>
      <c r="K26" s="3"/>
      <c r="N26" s="83">
        <f>D26*N20</f>
        <v>0</v>
      </c>
      <c r="O26" s="83">
        <f>F26*O20</f>
        <v>0</v>
      </c>
      <c r="P26" s="83">
        <f>H26*P20</f>
        <v>0</v>
      </c>
      <c r="Q26" s="83">
        <f>J26*Q20</f>
        <v>0</v>
      </c>
    </row>
    <row r="27" spans="2:17" x14ac:dyDescent="0.3">
      <c r="B27" s="156" t="s">
        <v>4</v>
      </c>
      <c r="C27" s="157"/>
      <c r="D27" s="157"/>
      <c r="E27" s="157"/>
      <c r="F27" s="157"/>
      <c r="G27" s="157"/>
      <c r="H27" s="157"/>
      <c r="I27" s="157"/>
      <c r="J27" s="157"/>
      <c r="K27" s="158"/>
      <c r="N27" s="86">
        <f>VLOOKUP($B27,ref_var!$A$2:$B$6,2,FALSE)</f>
        <v>45</v>
      </c>
      <c r="O27" s="86">
        <f>VLOOKUP($B27,ref_var!$A$2:$B$6,2,FALSE)</f>
        <v>45</v>
      </c>
      <c r="P27" s="86">
        <f>VLOOKUP($B27,ref_var!$A$2:$B$6,2,FALSE)</f>
        <v>45</v>
      </c>
      <c r="Q27" s="86">
        <f>VLOOKUP($B27,ref_var!$A$2:$B$6,2,FALSE)</f>
        <v>45</v>
      </c>
    </row>
    <row r="28" spans="2:17" x14ac:dyDescent="0.3">
      <c r="B28" s="10"/>
      <c r="C28" s="11" t="s">
        <v>1</v>
      </c>
      <c r="D28" s="2"/>
      <c r="E28" s="2"/>
      <c r="F28" s="2"/>
      <c r="G28" s="2"/>
      <c r="H28" s="2"/>
      <c r="I28" s="2"/>
      <c r="J28" s="2"/>
      <c r="K28" s="2"/>
    </row>
    <row r="29" spans="2:17" x14ac:dyDescent="0.3">
      <c r="B29" s="10"/>
      <c r="C29" s="11" t="s">
        <v>26</v>
      </c>
      <c r="D29" s="2"/>
      <c r="E29" s="2"/>
      <c r="F29" s="2"/>
      <c r="G29" s="2"/>
      <c r="H29" s="2"/>
      <c r="I29" s="2"/>
      <c r="J29" s="2"/>
      <c r="K29" s="2"/>
    </row>
    <row r="30" spans="2:17" x14ac:dyDescent="0.3">
      <c r="B30" s="10"/>
      <c r="C30" s="11" t="s">
        <v>25</v>
      </c>
      <c r="D30" s="2"/>
      <c r="E30" s="2"/>
      <c r="F30" s="2"/>
      <c r="G30" s="2"/>
      <c r="H30" s="2"/>
      <c r="I30" s="2"/>
      <c r="J30" s="2"/>
      <c r="K30" s="2"/>
    </row>
    <row r="31" spans="2:17" x14ac:dyDescent="0.3">
      <c r="B31" s="10"/>
      <c r="C31" s="11" t="s">
        <v>275</v>
      </c>
      <c r="D31" s="2"/>
      <c r="E31" s="2"/>
      <c r="F31" s="2"/>
      <c r="G31" s="2"/>
      <c r="H31" s="2"/>
      <c r="I31" s="2"/>
      <c r="J31" s="2"/>
      <c r="K31" s="2"/>
    </row>
    <row r="32" spans="2:17" x14ac:dyDescent="0.3">
      <c r="B32" s="10"/>
      <c r="C32" s="11" t="s">
        <v>2</v>
      </c>
      <c r="D32" s="2"/>
      <c r="E32" s="2"/>
      <c r="F32" s="2"/>
      <c r="G32" s="2"/>
      <c r="H32" s="2"/>
      <c r="I32" s="2"/>
      <c r="J32" s="2"/>
      <c r="K32" s="2"/>
    </row>
    <row r="33" spans="2:17" x14ac:dyDescent="0.3">
      <c r="B33" s="12"/>
      <c r="C33" s="13" t="s">
        <v>277</v>
      </c>
      <c r="D33" s="3"/>
      <c r="E33" s="3"/>
      <c r="F33" s="3"/>
      <c r="G33" s="3"/>
      <c r="H33" s="3"/>
      <c r="I33" s="3"/>
      <c r="J33" s="3"/>
      <c r="K33" s="3"/>
      <c r="N33" s="83">
        <f>D33*N27</f>
        <v>0</v>
      </c>
      <c r="O33" s="83">
        <f>F33*O27</f>
        <v>0</v>
      </c>
      <c r="P33" s="83">
        <f>H33*P27</f>
        <v>0</v>
      </c>
      <c r="Q33" s="83">
        <f>J33*Q27</f>
        <v>0</v>
      </c>
    </row>
    <row r="34" spans="2:17" x14ac:dyDescent="0.3">
      <c r="B34" s="156" t="s">
        <v>5</v>
      </c>
      <c r="C34" s="157"/>
      <c r="D34" s="157"/>
      <c r="E34" s="157"/>
      <c r="F34" s="157"/>
      <c r="G34" s="157"/>
      <c r="H34" s="157"/>
      <c r="I34" s="157"/>
      <c r="J34" s="157"/>
      <c r="K34" s="158"/>
      <c r="N34" s="86">
        <f>VLOOKUP($B34,ref_var!$A$2:$B$6,2,FALSE)</f>
        <v>65</v>
      </c>
      <c r="O34" s="86">
        <f>VLOOKUP($B34,ref_var!$A$2:$B$6,2,FALSE)</f>
        <v>65</v>
      </c>
      <c r="P34" s="86">
        <f>VLOOKUP($B34,ref_var!$A$2:$B$6,2,FALSE)</f>
        <v>65</v>
      </c>
      <c r="Q34" s="86">
        <f>VLOOKUP($B34,ref_var!$A$2:$B$6,2,FALSE)</f>
        <v>65</v>
      </c>
    </row>
    <row r="35" spans="2:17" x14ac:dyDescent="0.3">
      <c r="B35" s="10"/>
      <c r="C35" s="11" t="s">
        <v>1</v>
      </c>
      <c r="D35" s="2"/>
      <c r="E35" s="2"/>
      <c r="F35" s="2"/>
      <c r="G35" s="2"/>
      <c r="H35" s="2"/>
      <c r="I35" s="2"/>
      <c r="J35" s="2"/>
      <c r="K35" s="2"/>
    </row>
    <row r="36" spans="2:17" x14ac:dyDescent="0.3">
      <c r="B36" s="10"/>
      <c r="C36" s="11" t="s">
        <v>26</v>
      </c>
      <c r="D36" s="2"/>
      <c r="E36" s="2"/>
      <c r="F36" s="2"/>
      <c r="G36" s="2"/>
      <c r="H36" s="2"/>
      <c r="I36" s="2"/>
      <c r="J36" s="2"/>
      <c r="K36" s="2"/>
    </row>
    <row r="37" spans="2:17" x14ac:dyDescent="0.3">
      <c r="B37" s="10"/>
      <c r="C37" s="11" t="s">
        <v>25</v>
      </c>
      <c r="D37" s="2"/>
      <c r="E37" s="2"/>
      <c r="F37" s="2"/>
      <c r="G37" s="2"/>
      <c r="H37" s="2"/>
      <c r="I37" s="2"/>
      <c r="J37" s="2"/>
      <c r="K37" s="2"/>
    </row>
    <row r="38" spans="2:17" x14ac:dyDescent="0.3">
      <c r="B38" s="10"/>
      <c r="C38" s="11" t="s">
        <v>275</v>
      </c>
      <c r="D38" s="2"/>
      <c r="E38" s="2"/>
      <c r="F38" s="2"/>
      <c r="G38" s="2"/>
      <c r="H38" s="2"/>
      <c r="I38" s="2"/>
      <c r="J38" s="2"/>
      <c r="K38" s="2"/>
    </row>
    <row r="39" spans="2:17" x14ac:dyDescent="0.3">
      <c r="B39" s="10"/>
      <c r="C39" s="11" t="s">
        <v>2</v>
      </c>
      <c r="D39" s="2"/>
      <c r="E39" s="2"/>
      <c r="F39" s="2"/>
      <c r="G39" s="2"/>
      <c r="H39" s="2"/>
      <c r="I39" s="2"/>
      <c r="J39" s="2"/>
      <c r="K39" s="2"/>
    </row>
    <row r="40" spans="2:17" x14ac:dyDescent="0.3">
      <c r="B40" s="12"/>
      <c r="C40" s="13" t="s">
        <v>277</v>
      </c>
      <c r="D40" s="3"/>
      <c r="E40" s="3"/>
      <c r="F40" s="3"/>
      <c r="G40" s="3"/>
      <c r="H40" s="3"/>
      <c r="I40" s="3"/>
      <c r="J40" s="3"/>
      <c r="K40" s="3"/>
      <c r="N40" s="83">
        <f>D40*N34</f>
        <v>0</v>
      </c>
      <c r="O40" s="83">
        <f>F40*O34</f>
        <v>0</v>
      </c>
      <c r="P40" s="83">
        <f>H40*P34</f>
        <v>0</v>
      </c>
      <c r="Q40" s="83">
        <f>J40*Q34</f>
        <v>0</v>
      </c>
    </row>
    <row r="41" spans="2:17" x14ac:dyDescent="0.3">
      <c r="B41" s="156" t="s">
        <v>10</v>
      </c>
      <c r="C41" s="157"/>
      <c r="D41" s="157"/>
      <c r="E41" s="157"/>
      <c r="F41" s="157"/>
      <c r="G41" s="157"/>
      <c r="H41" s="157"/>
      <c r="I41" s="157"/>
      <c r="J41" s="157"/>
      <c r="K41" s="158"/>
      <c r="N41" s="86">
        <f>VLOOKUP($B41,ref_var!$A$2:$B$6,2,FALSE)</f>
        <v>104</v>
      </c>
      <c r="O41" s="86">
        <f>VLOOKUP($B41,ref_var!$A$2:$B$6,2,FALSE)</f>
        <v>104</v>
      </c>
      <c r="P41" s="86">
        <f>VLOOKUP($B41,ref_var!$A$2:$B$6,2,FALSE)</f>
        <v>104</v>
      </c>
      <c r="Q41" s="86">
        <f>VLOOKUP($B41,ref_var!$A$2:$B$6,2,FALSE)</f>
        <v>104</v>
      </c>
    </row>
    <row r="42" spans="2:17" x14ac:dyDescent="0.3">
      <c r="B42" s="10"/>
      <c r="C42" s="11" t="s">
        <v>1</v>
      </c>
      <c r="D42" s="2"/>
      <c r="E42" s="2"/>
      <c r="F42" s="2"/>
      <c r="G42" s="2"/>
      <c r="H42" s="2"/>
      <c r="I42" s="2"/>
      <c r="J42" s="2"/>
      <c r="K42" s="2"/>
    </row>
    <row r="43" spans="2:17" x14ac:dyDescent="0.3">
      <c r="B43" s="10"/>
      <c r="C43" s="11" t="s">
        <v>26</v>
      </c>
      <c r="D43" s="2"/>
      <c r="E43" s="2"/>
      <c r="F43" s="2"/>
      <c r="G43" s="2"/>
      <c r="H43" s="2"/>
      <c r="I43" s="2"/>
      <c r="J43" s="2"/>
      <c r="K43" s="2"/>
    </row>
    <row r="44" spans="2:17" x14ac:dyDescent="0.3">
      <c r="B44" s="10"/>
      <c r="C44" s="11" t="s">
        <v>25</v>
      </c>
      <c r="D44" s="2"/>
      <c r="E44" s="2"/>
      <c r="F44" s="2"/>
      <c r="G44" s="2"/>
      <c r="H44" s="2"/>
      <c r="I44" s="2"/>
      <c r="J44" s="2"/>
      <c r="K44" s="2"/>
    </row>
    <row r="45" spans="2:17" x14ac:dyDescent="0.3">
      <c r="B45" s="10"/>
      <c r="C45" s="11" t="s">
        <v>275</v>
      </c>
      <c r="D45" s="2"/>
      <c r="E45" s="2"/>
      <c r="F45" s="2"/>
      <c r="G45" s="2"/>
      <c r="H45" s="2"/>
      <c r="I45" s="2"/>
      <c r="J45" s="2"/>
      <c r="K45" s="2"/>
    </row>
    <row r="46" spans="2:17" x14ac:dyDescent="0.3">
      <c r="B46" s="10"/>
      <c r="C46" s="11" t="s">
        <v>2</v>
      </c>
      <c r="D46" s="2"/>
      <c r="E46" s="2"/>
      <c r="F46" s="2"/>
      <c r="G46" s="2"/>
      <c r="H46" s="2"/>
      <c r="I46" s="2"/>
      <c r="J46" s="2"/>
      <c r="K46" s="2"/>
    </row>
    <row r="47" spans="2:17" x14ac:dyDescent="0.3">
      <c r="B47" s="12"/>
      <c r="C47" s="13" t="s">
        <v>277</v>
      </c>
      <c r="D47" s="3"/>
      <c r="E47" s="3"/>
      <c r="F47" s="3"/>
      <c r="G47" s="3"/>
      <c r="H47" s="3"/>
      <c r="I47" s="3"/>
      <c r="J47" s="3"/>
      <c r="K47" s="3"/>
      <c r="N47" s="83">
        <f>D47*N41</f>
        <v>0</v>
      </c>
      <c r="O47" s="83">
        <f>F47*O41</f>
        <v>0</v>
      </c>
      <c r="P47" s="83">
        <f>H47*P41</f>
        <v>0</v>
      </c>
      <c r="Q47" s="83">
        <f>J47*Q41</f>
        <v>0</v>
      </c>
    </row>
    <row r="48" spans="2:17" x14ac:dyDescent="0.3">
      <c r="B48" s="156" t="s">
        <v>6</v>
      </c>
      <c r="C48" s="157"/>
      <c r="D48" s="157"/>
      <c r="E48" s="157"/>
      <c r="F48" s="157"/>
      <c r="G48" s="157"/>
      <c r="H48" s="157"/>
      <c r="I48" s="157"/>
      <c r="J48" s="157"/>
      <c r="K48" s="158"/>
      <c r="N48" s="86">
        <f>VLOOKUP($B48,ref_var!$A$2:$B$6,2,FALSE)</f>
        <v>46</v>
      </c>
      <c r="O48" s="86">
        <f>VLOOKUP($B48,ref_var!$A$2:$B$6,2,FALSE)</f>
        <v>46</v>
      </c>
      <c r="P48" s="86">
        <f>VLOOKUP($B48,ref_var!$A$2:$B$6,2,FALSE)</f>
        <v>46</v>
      </c>
      <c r="Q48" s="86">
        <f>VLOOKUP($B48,ref_var!$A$2:$B$6,2,FALSE)</f>
        <v>46</v>
      </c>
    </row>
    <row r="49" spans="2:17" x14ac:dyDescent="0.3">
      <c r="B49" s="10"/>
      <c r="C49" s="11" t="s">
        <v>1</v>
      </c>
      <c r="D49" s="2"/>
      <c r="E49" s="2"/>
      <c r="F49" s="2"/>
      <c r="G49" s="2"/>
      <c r="H49" s="2"/>
      <c r="I49" s="2"/>
      <c r="J49" s="2"/>
      <c r="K49" s="2"/>
    </row>
    <row r="50" spans="2:17" x14ac:dyDescent="0.3">
      <c r="B50" s="10"/>
      <c r="C50" s="11" t="s">
        <v>26</v>
      </c>
      <c r="D50" s="2"/>
      <c r="E50" s="2"/>
      <c r="F50" s="2"/>
      <c r="G50" s="2"/>
      <c r="H50" s="2"/>
      <c r="I50" s="2"/>
      <c r="J50" s="2"/>
      <c r="K50" s="2"/>
    </row>
    <row r="51" spans="2:17" x14ac:dyDescent="0.3">
      <c r="B51" s="10"/>
      <c r="C51" s="11" t="s">
        <v>25</v>
      </c>
      <c r="D51" s="2"/>
      <c r="E51" s="2"/>
      <c r="F51" s="2"/>
      <c r="G51" s="2"/>
      <c r="H51" s="2"/>
      <c r="I51" s="2"/>
      <c r="J51" s="2"/>
      <c r="K51" s="2"/>
    </row>
    <row r="52" spans="2:17" x14ac:dyDescent="0.3">
      <c r="B52" s="10"/>
      <c r="C52" s="11" t="s">
        <v>275</v>
      </c>
      <c r="D52" s="2"/>
      <c r="E52" s="2"/>
      <c r="F52" s="2"/>
      <c r="G52" s="2"/>
      <c r="H52" s="2"/>
      <c r="I52" s="2"/>
      <c r="J52" s="2"/>
      <c r="K52" s="2"/>
    </row>
    <row r="53" spans="2:17" x14ac:dyDescent="0.3">
      <c r="B53" s="10"/>
      <c r="C53" s="11" t="s">
        <v>2</v>
      </c>
      <c r="D53" s="2"/>
      <c r="E53" s="2"/>
      <c r="F53" s="2"/>
      <c r="G53" s="2"/>
      <c r="H53" s="2"/>
      <c r="I53" s="2"/>
      <c r="J53" s="2"/>
      <c r="K53" s="2"/>
    </row>
    <row r="54" spans="2:17" x14ac:dyDescent="0.3">
      <c r="B54" s="12"/>
      <c r="C54" s="13" t="s">
        <v>277</v>
      </c>
      <c r="D54" s="3"/>
      <c r="E54" s="3"/>
      <c r="F54" s="3"/>
      <c r="G54" s="3"/>
      <c r="H54" s="3"/>
      <c r="I54" s="3"/>
      <c r="J54" s="3"/>
      <c r="K54" s="3"/>
      <c r="N54" s="83">
        <f>D54*N48</f>
        <v>0</v>
      </c>
      <c r="O54" s="83">
        <f>F54*O48</f>
        <v>0</v>
      </c>
      <c r="P54" s="83">
        <f>H54*P48</f>
        <v>0</v>
      </c>
      <c r="Q54" s="83">
        <f>J54*Q48</f>
        <v>0</v>
      </c>
    </row>
    <row r="55" spans="2:17" x14ac:dyDescent="0.3">
      <c r="B55" s="166" t="s">
        <v>11</v>
      </c>
      <c r="C55" s="167"/>
      <c r="D55" s="164"/>
      <c r="E55" s="164"/>
      <c r="F55" s="164"/>
      <c r="G55" s="164"/>
      <c r="H55" s="164"/>
      <c r="I55" s="164"/>
      <c r="J55" s="164"/>
      <c r="K55" s="165"/>
    </row>
    <row r="56" spans="2:17" x14ac:dyDescent="0.3">
      <c r="B56" s="10"/>
      <c r="C56" s="11" t="s">
        <v>1</v>
      </c>
      <c r="D56" s="2"/>
      <c r="E56" s="2"/>
      <c r="F56" s="2"/>
      <c r="G56" s="2"/>
      <c r="H56" s="2"/>
      <c r="I56" s="2"/>
      <c r="J56" s="2"/>
      <c r="K56" s="2"/>
    </row>
    <row r="57" spans="2:17" x14ac:dyDescent="0.3">
      <c r="B57" s="10"/>
      <c r="C57" s="11" t="s">
        <v>26</v>
      </c>
      <c r="D57" s="2"/>
      <c r="E57" s="2"/>
      <c r="F57" s="2"/>
      <c r="G57" s="2"/>
      <c r="H57" s="2"/>
      <c r="I57" s="2"/>
      <c r="J57" s="2"/>
      <c r="K57" s="2"/>
    </row>
    <row r="58" spans="2:17" x14ac:dyDescent="0.3">
      <c r="B58" s="10"/>
      <c r="C58" s="11" t="s">
        <v>25</v>
      </c>
      <c r="D58" s="2"/>
      <c r="E58" s="2"/>
      <c r="F58" s="2"/>
      <c r="G58" s="2"/>
      <c r="H58" s="2"/>
      <c r="I58" s="2"/>
      <c r="J58" s="2"/>
      <c r="K58" s="2"/>
    </row>
    <row r="59" spans="2:17" x14ac:dyDescent="0.3">
      <c r="B59" s="10"/>
      <c r="C59" s="11" t="s">
        <v>275</v>
      </c>
      <c r="D59" s="2"/>
      <c r="E59" s="2"/>
      <c r="F59" s="2"/>
      <c r="G59" s="2"/>
      <c r="H59" s="2"/>
      <c r="I59" s="2"/>
      <c r="J59" s="2"/>
      <c r="K59" s="2"/>
    </row>
    <row r="60" spans="2:17" x14ac:dyDescent="0.3">
      <c r="B60" s="10"/>
      <c r="C60" s="11" t="s">
        <v>2</v>
      </c>
      <c r="D60" s="2"/>
      <c r="E60" s="2"/>
      <c r="F60" s="2"/>
      <c r="G60" s="2"/>
      <c r="H60" s="2"/>
      <c r="I60" s="2"/>
      <c r="J60" s="2"/>
      <c r="K60" s="2"/>
    </row>
    <row r="61" spans="2:17" x14ac:dyDescent="0.3">
      <c r="B61" s="80"/>
      <c r="C61" s="81" t="s">
        <v>277</v>
      </c>
      <c r="D61" s="82"/>
      <c r="E61" s="82"/>
      <c r="F61" s="82"/>
      <c r="G61" s="82"/>
      <c r="H61" s="82"/>
      <c r="I61" s="82"/>
      <c r="J61" s="82"/>
      <c r="K61" s="82"/>
      <c r="N61" s="83">
        <f>D61*D62</f>
        <v>0</v>
      </c>
      <c r="O61" s="83">
        <f>F61*F62</f>
        <v>0</v>
      </c>
      <c r="P61" s="83">
        <f>H61*H62</f>
        <v>0</v>
      </c>
      <c r="Q61" s="83">
        <f>J61*J62</f>
        <v>0</v>
      </c>
    </row>
    <row r="62" spans="2:17" x14ac:dyDescent="0.3">
      <c r="B62" s="12"/>
      <c r="C62" s="13" t="s">
        <v>223</v>
      </c>
      <c r="D62" s="3"/>
      <c r="E62" s="3"/>
      <c r="F62" s="3"/>
      <c r="G62" s="3"/>
      <c r="H62" s="3"/>
      <c r="I62" s="3"/>
      <c r="J62" s="3"/>
      <c r="K62" s="3"/>
      <c r="N62" s="85"/>
      <c r="O62" s="85"/>
      <c r="P62" s="85"/>
      <c r="Q62" s="85"/>
    </row>
    <row r="63" spans="2:17" x14ac:dyDescent="0.3">
      <c r="B63" s="166" t="s">
        <v>11</v>
      </c>
      <c r="C63" s="167"/>
      <c r="D63" s="164"/>
      <c r="E63" s="164"/>
      <c r="F63" s="164"/>
      <c r="G63" s="164"/>
      <c r="H63" s="164"/>
      <c r="I63" s="164"/>
      <c r="J63" s="164"/>
      <c r="K63" s="165"/>
    </row>
    <row r="64" spans="2:17" x14ac:dyDescent="0.3">
      <c r="B64" s="10"/>
      <c r="C64" s="11" t="s">
        <v>1</v>
      </c>
      <c r="D64" s="2"/>
      <c r="E64" s="2"/>
      <c r="F64" s="2"/>
      <c r="G64" s="2"/>
      <c r="H64" s="2"/>
      <c r="I64" s="2"/>
      <c r="J64" s="2"/>
      <c r="K64" s="2"/>
    </row>
    <row r="65" spans="2:17" x14ac:dyDescent="0.3">
      <c r="B65" s="10"/>
      <c r="C65" s="11" t="s">
        <v>26</v>
      </c>
      <c r="D65" s="2"/>
      <c r="E65" s="2"/>
      <c r="F65" s="2"/>
      <c r="G65" s="2"/>
      <c r="H65" s="2"/>
      <c r="I65" s="2"/>
      <c r="J65" s="2"/>
      <c r="K65" s="2"/>
    </row>
    <row r="66" spans="2:17" x14ac:dyDescent="0.3">
      <c r="B66" s="10"/>
      <c r="C66" s="11" t="s">
        <v>25</v>
      </c>
      <c r="D66" s="2"/>
      <c r="E66" s="2"/>
      <c r="F66" s="2"/>
      <c r="G66" s="2"/>
      <c r="H66" s="2"/>
      <c r="I66" s="2"/>
      <c r="J66" s="2"/>
      <c r="K66" s="2"/>
    </row>
    <row r="67" spans="2:17" x14ac:dyDescent="0.3">
      <c r="B67" s="10"/>
      <c r="C67" s="11" t="s">
        <v>275</v>
      </c>
      <c r="D67" s="2"/>
      <c r="E67" s="2"/>
      <c r="F67" s="2"/>
      <c r="G67" s="2"/>
      <c r="H67" s="2"/>
      <c r="I67" s="2"/>
      <c r="J67" s="2"/>
      <c r="K67" s="2"/>
    </row>
    <row r="68" spans="2:17" x14ac:dyDescent="0.3">
      <c r="B68" s="10"/>
      <c r="C68" s="11" t="s">
        <v>2</v>
      </c>
      <c r="D68" s="2"/>
      <c r="E68" s="2"/>
      <c r="F68" s="2"/>
      <c r="G68" s="2"/>
      <c r="H68" s="2"/>
      <c r="I68" s="2"/>
      <c r="J68" s="2"/>
      <c r="K68" s="2"/>
    </row>
    <row r="69" spans="2:17" x14ac:dyDescent="0.3">
      <c r="B69" s="80"/>
      <c r="C69" s="81" t="s">
        <v>277</v>
      </c>
      <c r="D69" s="82"/>
      <c r="E69" s="82"/>
      <c r="F69" s="82"/>
      <c r="G69" s="82"/>
      <c r="H69" s="82"/>
      <c r="I69" s="82"/>
      <c r="J69" s="82"/>
      <c r="K69" s="82"/>
      <c r="N69" s="83">
        <f>D69*D70</f>
        <v>0</v>
      </c>
      <c r="O69" s="83">
        <f>F69*F70</f>
        <v>0</v>
      </c>
      <c r="P69" s="83">
        <f>H69*H70</f>
        <v>0</v>
      </c>
      <c r="Q69" s="83">
        <f>J69*J70</f>
        <v>0</v>
      </c>
    </row>
    <row r="70" spans="2:17" x14ac:dyDescent="0.3">
      <c r="B70" s="12"/>
      <c r="C70" s="13" t="s">
        <v>223</v>
      </c>
      <c r="D70" s="3"/>
      <c r="E70" s="3"/>
      <c r="F70" s="3"/>
      <c r="G70" s="3"/>
      <c r="H70" s="3"/>
      <c r="I70" s="3"/>
      <c r="J70" s="3"/>
      <c r="K70" s="3"/>
      <c r="N70" s="85"/>
      <c r="O70" s="85"/>
      <c r="P70" s="85"/>
      <c r="Q70" s="85"/>
    </row>
    <row r="72" spans="2:17" x14ac:dyDescent="0.3">
      <c r="B72" s="14" t="s">
        <v>7</v>
      </c>
    </row>
    <row r="73" spans="2:17" x14ac:dyDescent="0.3">
      <c r="B73" s="168" t="s">
        <v>280</v>
      </c>
      <c r="C73" s="163"/>
      <c r="D73" s="163"/>
      <c r="E73" s="163"/>
      <c r="F73" s="163"/>
      <c r="G73" s="163"/>
      <c r="H73" s="163"/>
      <c r="I73" s="163"/>
      <c r="J73" s="163"/>
      <c r="K73" s="163"/>
    </row>
    <row r="74" spans="2:17" x14ac:dyDescent="0.3">
      <c r="B74" s="168" t="s">
        <v>281</v>
      </c>
      <c r="C74" s="163"/>
      <c r="D74" s="163"/>
      <c r="E74" s="163"/>
      <c r="F74" s="163"/>
      <c r="G74" s="163"/>
      <c r="H74" s="163"/>
      <c r="I74" s="163"/>
      <c r="J74" s="163"/>
      <c r="K74" s="163"/>
    </row>
  </sheetData>
  <sheetProtection algorithmName="SHA-512" hashValue="eYzLZJzYyVEDYfyPvgCB3zfqSFIcFf9KhTNpV55ToKTPITuV1Nnl3+w2DCcBky0dDES8dN4wfvw8KsuI+lOfTg==" saltValue="QPcvFty8iBu4t18cAmtoKg==" spinCount="100000" sheet="1" objects="1" scenarios="1" selectLockedCells="1"/>
  <mergeCells count="27">
    <mergeCell ref="B74:K74"/>
    <mergeCell ref="B8:C8"/>
    <mergeCell ref="B55:C55"/>
    <mergeCell ref="D55:K55"/>
    <mergeCell ref="B63:C63"/>
    <mergeCell ref="D63:K63"/>
    <mergeCell ref="B73:K73"/>
    <mergeCell ref="B11:K11"/>
    <mergeCell ref="B20:K20"/>
    <mergeCell ref="B27:K27"/>
    <mergeCell ref="B34:K34"/>
    <mergeCell ref="B41:K41"/>
    <mergeCell ref="B48:K48"/>
    <mergeCell ref="B9:C9"/>
    <mergeCell ref="D9:E9"/>
    <mergeCell ref="F9:G9"/>
    <mergeCell ref="H9:I9"/>
    <mergeCell ref="J9:K9"/>
    <mergeCell ref="B10:C10"/>
    <mergeCell ref="B1:K1"/>
    <mergeCell ref="B2:K2"/>
    <mergeCell ref="B4:K4"/>
    <mergeCell ref="D6:K6"/>
    <mergeCell ref="D8:E8"/>
    <mergeCell ref="F8:G8"/>
    <mergeCell ref="H8:I8"/>
    <mergeCell ref="J8:K8"/>
  </mergeCells>
  <conditionalFormatting sqref="D6:K6">
    <cfRule type="cellIs" dxfId="7" priority="1" operator="equal">
      <formula>"Veuillez consulter l'onglet Instructions."</formula>
    </cfRule>
  </conditionalFormatting>
  <printOptions horizontalCentered="1"/>
  <pageMargins left="0.19685039370078741" right="0.19685039370078741" top="0.31496062992125984" bottom="0.31496062992125984" header="0.31496062992125984" footer="0.23622047244094491"/>
  <pageSetup scale="67" orientation="portrait" blackAndWhite="1" r:id="rId1"/>
  <headerFooter>
    <oddHeader>&amp;L&amp;G</oddHeader>
    <oddFooter>&amp;LMinistère des Transports, de la Mobilité durable et de l'Électrification des transports (2018-05)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B1:Q48"/>
  <sheetViews>
    <sheetView showGridLines="0" zoomScaleNormal="100" workbookViewId="0">
      <selection activeCell="H12" sqref="H12"/>
    </sheetView>
  </sheetViews>
  <sheetFormatPr baseColWidth="10" defaultColWidth="11.44140625" defaultRowHeight="14.4" x14ac:dyDescent="0.3"/>
  <cols>
    <col min="1" max="2" width="1.6640625" style="17" customWidth="1"/>
    <col min="3" max="3" width="50.6640625" style="17" customWidth="1"/>
    <col min="4" max="4" width="13.6640625" style="17" hidden="1" customWidth="1"/>
    <col min="5" max="5" width="11.5546875" style="17" hidden="1" customWidth="1"/>
    <col min="6" max="6" width="13.6640625" style="17" hidden="1" customWidth="1"/>
    <col min="7" max="7" width="11.5546875" style="17" hidden="1" customWidth="1"/>
    <col min="8" max="8" width="13.6640625" style="17" customWidth="1"/>
    <col min="9" max="9" width="11.5546875" style="17" hidden="1" customWidth="1"/>
    <col min="10" max="10" width="13.6640625" style="17" customWidth="1"/>
    <col min="11" max="11" width="11.5546875" style="17" hidden="1" customWidth="1"/>
    <col min="12" max="12" width="1.6640625" style="17" customWidth="1"/>
    <col min="13" max="13" width="11.44140625" style="17"/>
    <col min="14" max="17" width="0" style="17" hidden="1" customWidth="1"/>
    <col min="18" max="16384" width="11.44140625" style="17"/>
  </cols>
  <sheetData>
    <row r="1" spans="2:17" s="126" customFormat="1" ht="18" x14ac:dyDescent="0.3">
      <c r="B1" s="145" t="s">
        <v>23</v>
      </c>
      <c r="C1" s="145"/>
      <c r="D1" s="145"/>
      <c r="E1" s="145"/>
      <c r="F1" s="145"/>
      <c r="G1" s="145"/>
      <c r="H1" s="145"/>
      <c r="I1" s="145"/>
      <c r="J1" s="145"/>
      <c r="K1" s="145"/>
    </row>
    <row r="2" spans="2:17" ht="15.6" x14ac:dyDescent="0.3">
      <c r="B2" s="146" t="s">
        <v>40</v>
      </c>
      <c r="C2" s="146"/>
      <c r="D2" s="146"/>
      <c r="E2" s="146"/>
      <c r="F2" s="146"/>
      <c r="G2" s="146"/>
      <c r="H2" s="146"/>
      <c r="I2" s="146"/>
      <c r="J2" s="146"/>
      <c r="K2" s="146"/>
    </row>
    <row r="3" spans="2:17" ht="8.25" customHeight="1" x14ac:dyDescent="0.3">
      <c r="B3" s="6"/>
      <c r="C3" s="6"/>
      <c r="D3" s="6"/>
      <c r="E3" s="6"/>
      <c r="F3" s="6"/>
      <c r="G3" s="6"/>
      <c r="H3" s="6"/>
      <c r="I3" s="6"/>
      <c r="J3" s="6"/>
      <c r="K3" s="6"/>
    </row>
    <row r="4" spans="2:17" ht="15.6" x14ac:dyDescent="0.3">
      <c r="B4" s="147" t="s">
        <v>274</v>
      </c>
      <c r="C4" s="147"/>
      <c r="D4" s="147"/>
      <c r="E4" s="147"/>
      <c r="F4" s="147"/>
      <c r="G4" s="147"/>
      <c r="H4" s="147"/>
      <c r="I4" s="147"/>
      <c r="J4" s="147"/>
      <c r="K4" s="147"/>
    </row>
    <row r="5" spans="2:17" ht="15.6" x14ac:dyDescent="0.3">
      <c r="B5" s="6"/>
      <c r="C5" s="6"/>
      <c r="D5" s="6"/>
      <c r="E5" s="6"/>
      <c r="F5" s="6"/>
      <c r="G5" s="6"/>
      <c r="H5" s="6"/>
      <c r="I5" s="6"/>
      <c r="J5" s="6"/>
      <c r="K5" s="6"/>
    </row>
    <row r="6" spans="2:17" ht="15.6" x14ac:dyDescent="0.3">
      <c r="B6" s="6" t="s">
        <v>41</v>
      </c>
      <c r="C6" s="6"/>
      <c r="D6" s="149" t="str">
        <f>ref_var!$F$28</f>
        <v>Veuillez consulter l'onglet Instructions.</v>
      </c>
      <c r="E6" s="149"/>
      <c r="F6" s="149"/>
      <c r="G6" s="149"/>
      <c r="H6" s="149"/>
      <c r="I6" s="149"/>
      <c r="J6" s="149"/>
      <c r="K6" s="149"/>
    </row>
    <row r="8" spans="2:17" ht="30" customHeight="1" x14ac:dyDescent="0.3">
      <c r="B8" s="7"/>
      <c r="C8" s="7"/>
      <c r="D8" s="150">
        <f>ref_ges!A4</f>
        <v>2021</v>
      </c>
      <c r="E8" s="151"/>
      <c r="F8" s="150">
        <f>ref_ges!A5</f>
        <v>2022</v>
      </c>
      <c r="G8" s="151"/>
      <c r="H8" s="150">
        <f>ref_ges!A6</f>
        <v>2023</v>
      </c>
      <c r="I8" s="151"/>
      <c r="J8" s="150">
        <f>ref_ges!A7</f>
        <v>2024</v>
      </c>
      <c r="K8" s="151"/>
      <c r="L8" s="90"/>
      <c r="N8" s="83">
        <f>ref_ges!A4</f>
        <v>2021</v>
      </c>
      <c r="O8" s="83">
        <f>ref_ges!A5</f>
        <v>2022</v>
      </c>
      <c r="P8" s="83">
        <f>ref_ges!A6</f>
        <v>2023</v>
      </c>
      <c r="Q8" s="83">
        <f>ref_ges!A7</f>
        <v>2024</v>
      </c>
    </row>
    <row r="9" spans="2:17" x14ac:dyDescent="0.3">
      <c r="B9" s="159" t="s">
        <v>218</v>
      </c>
      <c r="C9" s="160"/>
      <c r="D9" s="154"/>
      <c r="E9" s="155"/>
      <c r="F9" s="154"/>
      <c r="G9" s="155"/>
      <c r="H9" s="154"/>
      <c r="I9" s="155"/>
      <c r="J9" s="154"/>
      <c r="K9" s="155"/>
      <c r="L9" s="90"/>
      <c r="N9" s="83"/>
      <c r="O9" s="83"/>
      <c r="P9" s="83"/>
      <c r="Q9" s="83"/>
    </row>
    <row r="10" spans="2:17" ht="27.6" x14ac:dyDescent="0.3">
      <c r="B10" s="161" t="s">
        <v>20</v>
      </c>
      <c r="C10" s="162"/>
      <c r="D10" s="19" t="s">
        <v>9</v>
      </c>
      <c r="E10" s="19" t="s">
        <v>24</v>
      </c>
      <c r="F10" s="19" t="s">
        <v>9</v>
      </c>
      <c r="G10" s="19" t="s">
        <v>24</v>
      </c>
      <c r="H10" s="19" t="s">
        <v>9</v>
      </c>
      <c r="I10" s="19" t="s">
        <v>24</v>
      </c>
      <c r="J10" s="19" t="s">
        <v>9</v>
      </c>
      <c r="K10" s="19" t="s">
        <v>24</v>
      </c>
      <c r="N10" s="83">
        <f>SUM(N12:N45)</f>
        <v>0</v>
      </c>
      <c r="O10" s="83">
        <f t="shared" ref="O10:Q10" si="0">SUM(O12:O45)</f>
        <v>0</v>
      </c>
      <c r="P10" s="83">
        <f t="shared" si="0"/>
        <v>0</v>
      </c>
      <c r="Q10" s="83">
        <f t="shared" si="0"/>
        <v>0</v>
      </c>
    </row>
    <row r="11" spans="2:17" x14ac:dyDescent="0.3">
      <c r="B11" s="156" t="s">
        <v>12</v>
      </c>
      <c r="C11" s="157"/>
      <c r="D11" s="157"/>
      <c r="E11" s="157"/>
      <c r="F11" s="157"/>
      <c r="G11" s="157"/>
      <c r="H11" s="157"/>
      <c r="I11" s="157"/>
      <c r="J11" s="157"/>
      <c r="K11" s="157"/>
      <c r="L11" s="90"/>
      <c r="N11" s="83" t="s">
        <v>224</v>
      </c>
      <c r="O11" s="83" t="s">
        <v>224</v>
      </c>
      <c r="P11" s="83" t="s">
        <v>224</v>
      </c>
      <c r="Q11" s="83" t="s">
        <v>224</v>
      </c>
    </row>
    <row r="12" spans="2:17" x14ac:dyDescent="0.3">
      <c r="B12" s="8"/>
      <c r="C12" s="9" t="s">
        <v>17</v>
      </c>
      <c r="D12" s="1"/>
      <c r="E12" s="20"/>
      <c r="F12" s="1"/>
      <c r="G12" s="20"/>
      <c r="H12" s="1"/>
      <c r="I12" s="20"/>
      <c r="J12" s="1"/>
      <c r="K12" s="20"/>
    </row>
    <row r="13" spans="2:17" x14ac:dyDescent="0.3">
      <c r="B13" s="10"/>
      <c r="C13" s="11" t="s">
        <v>18</v>
      </c>
      <c r="D13" s="18"/>
      <c r="E13" s="21"/>
      <c r="F13" s="2"/>
      <c r="G13" s="21"/>
      <c r="H13" s="2"/>
      <c r="I13" s="21"/>
      <c r="J13" s="2"/>
      <c r="K13" s="21"/>
    </row>
    <row r="14" spans="2:17" x14ac:dyDescent="0.3">
      <c r="B14" s="10"/>
      <c r="C14" s="11" t="s">
        <v>19</v>
      </c>
      <c r="D14" s="2"/>
      <c r="E14" s="21"/>
      <c r="F14" s="2"/>
      <c r="G14" s="21"/>
      <c r="H14" s="2"/>
      <c r="I14" s="21"/>
      <c r="J14" s="2"/>
      <c r="K14" s="21"/>
    </row>
    <row r="15" spans="2:17" x14ac:dyDescent="0.3">
      <c r="B15" s="10"/>
      <c r="C15" s="11" t="s">
        <v>282</v>
      </c>
      <c r="D15" s="2"/>
      <c r="E15" s="21"/>
      <c r="F15" s="2"/>
      <c r="G15" s="21"/>
      <c r="H15" s="2"/>
      <c r="I15" s="21"/>
      <c r="J15" s="2"/>
      <c r="K15" s="21"/>
      <c r="N15" s="83">
        <f>D15*ref_var!$B$12</f>
        <v>0</v>
      </c>
      <c r="O15" s="83">
        <f>F15*ref_var!$B$12</f>
        <v>0</v>
      </c>
      <c r="P15" s="83">
        <f>H15*ref_var!$B$12</f>
        <v>0</v>
      </c>
      <c r="Q15" s="83">
        <f>J15*ref_var!$B$12</f>
        <v>0</v>
      </c>
    </row>
    <row r="16" spans="2:17" x14ac:dyDescent="0.3">
      <c r="B16" s="10"/>
      <c r="C16" s="11" t="s">
        <v>283</v>
      </c>
      <c r="D16" s="2"/>
      <c r="E16" s="21"/>
      <c r="F16" s="2"/>
      <c r="G16" s="21"/>
      <c r="H16" s="2"/>
      <c r="I16" s="21"/>
      <c r="J16" s="2"/>
      <c r="K16" s="21"/>
      <c r="N16" s="83">
        <f>D16*ref_var!$B$12</f>
        <v>0</v>
      </c>
      <c r="O16" s="83">
        <f>F16*ref_var!$B$12</f>
        <v>0</v>
      </c>
      <c r="P16" s="83">
        <f>H16*ref_var!$B$12</f>
        <v>0</v>
      </c>
      <c r="Q16" s="83">
        <f>J16*ref_var!$B$12</f>
        <v>0</v>
      </c>
    </row>
    <row r="17" spans="2:17" x14ac:dyDescent="0.3">
      <c r="B17" s="12"/>
      <c r="C17" s="11" t="s">
        <v>284</v>
      </c>
      <c r="D17" s="3"/>
      <c r="E17" s="22"/>
      <c r="F17" s="3"/>
      <c r="G17" s="22"/>
      <c r="H17" s="3"/>
      <c r="I17" s="22"/>
      <c r="J17" s="3"/>
      <c r="K17" s="22"/>
      <c r="N17" s="83">
        <f>D17*ref_var!$B$13</f>
        <v>0</v>
      </c>
      <c r="O17" s="83">
        <f>F17*ref_var!$B$13</f>
        <v>0</v>
      </c>
      <c r="P17" s="83">
        <f>H17*ref_var!$B$13</f>
        <v>0</v>
      </c>
      <c r="Q17" s="83">
        <f>J17*ref_var!$B$13</f>
        <v>0</v>
      </c>
    </row>
    <row r="18" spans="2:17" x14ac:dyDescent="0.3">
      <c r="B18" s="156" t="s">
        <v>13</v>
      </c>
      <c r="C18" s="157"/>
      <c r="D18" s="157"/>
      <c r="E18" s="157"/>
      <c r="F18" s="157"/>
      <c r="G18" s="157"/>
      <c r="H18" s="157"/>
      <c r="I18" s="157"/>
      <c r="J18" s="157"/>
      <c r="K18" s="157"/>
      <c r="L18" s="90"/>
    </row>
    <row r="19" spans="2:17" x14ac:dyDescent="0.3">
      <c r="B19" s="8"/>
      <c r="C19" s="9" t="s">
        <v>17</v>
      </c>
      <c r="D19" s="18"/>
      <c r="E19" s="21"/>
      <c r="F19" s="2"/>
      <c r="G19" s="21"/>
      <c r="H19" s="2"/>
      <c r="I19" s="21"/>
      <c r="J19" s="2"/>
      <c r="K19" s="21"/>
    </row>
    <row r="20" spans="2:17" x14ac:dyDescent="0.3">
      <c r="B20" s="10"/>
      <c r="C20" s="11" t="s">
        <v>18</v>
      </c>
      <c r="D20" s="2"/>
      <c r="E20" s="21"/>
      <c r="F20" s="2"/>
      <c r="G20" s="21"/>
      <c r="H20" s="2"/>
      <c r="I20" s="21"/>
      <c r="J20" s="2"/>
      <c r="K20" s="21"/>
    </row>
    <row r="21" spans="2:17" x14ac:dyDescent="0.3">
      <c r="B21" s="10"/>
      <c r="C21" s="11" t="s">
        <v>19</v>
      </c>
      <c r="D21" s="2"/>
      <c r="E21" s="21"/>
      <c r="F21" s="2"/>
      <c r="G21" s="21"/>
      <c r="H21" s="2"/>
      <c r="I21" s="21"/>
      <c r="J21" s="2"/>
      <c r="K21" s="21"/>
    </row>
    <row r="22" spans="2:17" x14ac:dyDescent="0.3">
      <c r="B22" s="10"/>
      <c r="C22" s="11" t="s">
        <v>282</v>
      </c>
      <c r="D22" s="2"/>
      <c r="E22" s="21"/>
      <c r="F22" s="2"/>
      <c r="G22" s="21"/>
      <c r="H22" s="2"/>
      <c r="I22" s="21"/>
      <c r="J22" s="2"/>
      <c r="K22" s="21"/>
      <c r="N22" s="83">
        <f>D22*ref_var!$B$12</f>
        <v>0</v>
      </c>
      <c r="O22" s="83">
        <f>F22*ref_var!$B$12</f>
        <v>0</v>
      </c>
      <c r="P22" s="83">
        <f>H22*ref_var!$B$12</f>
        <v>0</v>
      </c>
      <c r="Q22" s="83">
        <f>J22*ref_var!$B$12</f>
        <v>0</v>
      </c>
    </row>
    <row r="23" spans="2:17" x14ac:dyDescent="0.3">
      <c r="B23" s="10"/>
      <c r="C23" s="11" t="s">
        <v>283</v>
      </c>
      <c r="D23" s="2"/>
      <c r="E23" s="21"/>
      <c r="F23" s="2"/>
      <c r="G23" s="21"/>
      <c r="H23" s="2"/>
      <c r="I23" s="21"/>
      <c r="J23" s="2"/>
      <c r="K23" s="21"/>
      <c r="N23" s="83">
        <f>D23*ref_var!$B$12</f>
        <v>0</v>
      </c>
      <c r="O23" s="83">
        <f>F23*ref_var!$B$12</f>
        <v>0</v>
      </c>
      <c r="P23" s="83">
        <f>H23*ref_var!$B$12</f>
        <v>0</v>
      </c>
      <c r="Q23" s="83">
        <f>J23*ref_var!$B$12</f>
        <v>0</v>
      </c>
    </row>
    <row r="24" spans="2:17" x14ac:dyDescent="0.3">
      <c r="B24" s="12"/>
      <c r="C24" s="11" t="s">
        <v>284</v>
      </c>
      <c r="D24" s="3"/>
      <c r="E24" s="22"/>
      <c r="F24" s="3"/>
      <c r="G24" s="22"/>
      <c r="H24" s="3"/>
      <c r="I24" s="22"/>
      <c r="J24" s="3"/>
      <c r="K24" s="22"/>
      <c r="N24" s="83">
        <f>D24*ref_var!$B$13</f>
        <v>0</v>
      </c>
      <c r="O24" s="83">
        <f>F24*ref_var!$B$13</f>
        <v>0</v>
      </c>
      <c r="P24" s="83">
        <f>H24*ref_var!$B$13</f>
        <v>0</v>
      </c>
      <c r="Q24" s="83">
        <f>J24*ref_var!$B$13</f>
        <v>0</v>
      </c>
    </row>
    <row r="25" spans="2:17" x14ac:dyDescent="0.3">
      <c r="B25" s="156" t="s">
        <v>14</v>
      </c>
      <c r="C25" s="157"/>
      <c r="D25" s="157"/>
      <c r="E25" s="157"/>
      <c r="F25" s="157"/>
      <c r="G25" s="157"/>
      <c r="H25" s="157"/>
      <c r="I25" s="157"/>
      <c r="J25" s="157"/>
      <c r="K25" s="157"/>
      <c r="L25" s="90"/>
    </row>
    <row r="26" spans="2:17" x14ac:dyDescent="0.3">
      <c r="B26" s="8"/>
      <c r="C26" s="9" t="s">
        <v>17</v>
      </c>
      <c r="D26" s="18"/>
      <c r="E26" s="21"/>
      <c r="F26" s="2"/>
      <c r="G26" s="21"/>
      <c r="H26" s="2"/>
      <c r="I26" s="21"/>
      <c r="J26" s="2"/>
      <c r="K26" s="21"/>
    </row>
    <row r="27" spans="2:17" x14ac:dyDescent="0.3">
      <c r="B27" s="10"/>
      <c r="C27" s="11" t="s">
        <v>18</v>
      </c>
      <c r="D27" s="2"/>
      <c r="E27" s="21"/>
      <c r="F27" s="2"/>
      <c r="G27" s="21"/>
      <c r="H27" s="2"/>
      <c r="I27" s="21"/>
      <c r="J27" s="2"/>
      <c r="K27" s="21"/>
    </row>
    <row r="28" spans="2:17" x14ac:dyDescent="0.3">
      <c r="B28" s="10"/>
      <c r="C28" s="11" t="s">
        <v>19</v>
      </c>
      <c r="D28" s="2"/>
      <c r="E28" s="21"/>
      <c r="F28" s="2"/>
      <c r="G28" s="21"/>
      <c r="H28" s="2"/>
      <c r="I28" s="21"/>
      <c r="J28" s="2"/>
      <c r="K28" s="21"/>
    </row>
    <row r="29" spans="2:17" x14ac:dyDescent="0.3">
      <c r="B29" s="10"/>
      <c r="C29" s="11" t="s">
        <v>282</v>
      </c>
      <c r="D29" s="2"/>
      <c r="E29" s="21"/>
      <c r="F29" s="2"/>
      <c r="G29" s="21"/>
      <c r="H29" s="2"/>
      <c r="I29" s="21"/>
      <c r="J29" s="2"/>
      <c r="K29" s="21"/>
      <c r="N29" s="83">
        <f>D29*ref_var!$B$12</f>
        <v>0</v>
      </c>
      <c r="O29" s="83">
        <f>F29*ref_var!$B$12</f>
        <v>0</v>
      </c>
      <c r="P29" s="83">
        <f>H29*ref_var!$B$12</f>
        <v>0</v>
      </c>
      <c r="Q29" s="83">
        <f>J29*ref_var!$B$12</f>
        <v>0</v>
      </c>
    </row>
    <row r="30" spans="2:17" x14ac:dyDescent="0.3">
      <c r="B30" s="10"/>
      <c r="C30" s="11" t="s">
        <v>283</v>
      </c>
      <c r="D30" s="2"/>
      <c r="E30" s="21"/>
      <c r="F30" s="2"/>
      <c r="G30" s="21"/>
      <c r="H30" s="2"/>
      <c r="I30" s="21"/>
      <c r="J30" s="2"/>
      <c r="K30" s="21"/>
      <c r="N30" s="83">
        <f>D30*ref_var!$B$12</f>
        <v>0</v>
      </c>
      <c r="O30" s="83">
        <f>F30*ref_var!$B$12</f>
        <v>0</v>
      </c>
      <c r="P30" s="83">
        <f>H30*ref_var!$B$12</f>
        <v>0</v>
      </c>
      <c r="Q30" s="83">
        <f>J30*ref_var!$B$12</f>
        <v>0</v>
      </c>
    </row>
    <row r="31" spans="2:17" x14ac:dyDescent="0.3">
      <c r="B31" s="12"/>
      <c r="C31" s="11" t="s">
        <v>284</v>
      </c>
      <c r="D31" s="3"/>
      <c r="E31" s="22"/>
      <c r="F31" s="3"/>
      <c r="G31" s="22"/>
      <c r="H31" s="3"/>
      <c r="I31" s="22"/>
      <c r="J31" s="3"/>
      <c r="K31" s="22"/>
      <c r="N31" s="83">
        <f>D31*ref_var!$B$13</f>
        <v>0</v>
      </c>
      <c r="O31" s="83">
        <f>F31*ref_var!$B$13</f>
        <v>0</v>
      </c>
      <c r="P31" s="83">
        <f>H31*ref_var!$B$13</f>
        <v>0</v>
      </c>
      <c r="Q31" s="83">
        <f>J31*ref_var!$B$13</f>
        <v>0</v>
      </c>
    </row>
    <row r="32" spans="2:17" x14ac:dyDescent="0.3">
      <c r="B32" s="156" t="s">
        <v>15</v>
      </c>
      <c r="C32" s="157"/>
      <c r="D32" s="157"/>
      <c r="E32" s="157"/>
      <c r="F32" s="157"/>
      <c r="G32" s="157"/>
      <c r="H32" s="157"/>
      <c r="I32" s="157"/>
      <c r="J32" s="157"/>
      <c r="K32" s="157"/>
      <c r="L32" s="90"/>
    </row>
    <row r="33" spans="2:17" x14ac:dyDescent="0.3">
      <c r="B33" s="8"/>
      <c r="C33" s="9" t="s">
        <v>17</v>
      </c>
      <c r="D33" s="18"/>
      <c r="E33" s="21"/>
      <c r="F33" s="2"/>
      <c r="G33" s="21"/>
      <c r="H33" s="2"/>
      <c r="I33" s="21"/>
      <c r="J33" s="2"/>
      <c r="K33" s="21"/>
    </row>
    <row r="34" spans="2:17" x14ac:dyDescent="0.3">
      <c r="B34" s="10"/>
      <c r="C34" s="11" t="s">
        <v>18</v>
      </c>
      <c r="D34" s="2"/>
      <c r="E34" s="21"/>
      <c r="F34" s="2"/>
      <c r="G34" s="21"/>
      <c r="H34" s="2"/>
      <c r="I34" s="21"/>
      <c r="J34" s="2"/>
      <c r="K34" s="21"/>
    </row>
    <row r="35" spans="2:17" x14ac:dyDescent="0.3">
      <c r="B35" s="10"/>
      <c r="C35" s="11" t="s">
        <v>19</v>
      </c>
      <c r="D35" s="2"/>
      <c r="E35" s="21"/>
      <c r="F35" s="2"/>
      <c r="G35" s="21"/>
      <c r="H35" s="2"/>
      <c r="I35" s="21"/>
      <c r="J35" s="2"/>
      <c r="K35" s="21"/>
    </row>
    <row r="36" spans="2:17" x14ac:dyDescent="0.3">
      <c r="B36" s="10"/>
      <c r="C36" s="11" t="s">
        <v>282</v>
      </c>
      <c r="D36" s="2"/>
      <c r="E36" s="21"/>
      <c r="F36" s="2"/>
      <c r="G36" s="21"/>
      <c r="H36" s="2"/>
      <c r="I36" s="21"/>
      <c r="J36" s="2"/>
      <c r="K36" s="21"/>
      <c r="N36" s="83">
        <f>D36*ref_var!$B$12</f>
        <v>0</v>
      </c>
      <c r="O36" s="83">
        <f>F36*ref_var!$B$12</f>
        <v>0</v>
      </c>
      <c r="P36" s="83">
        <f>H36*ref_var!$B$12</f>
        <v>0</v>
      </c>
      <c r="Q36" s="83">
        <f>J36*ref_var!$B$12</f>
        <v>0</v>
      </c>
    </row>
    <row r="37" spans="2:17" x14ac:dyDescent="0.3">
      <c r="B37" s="10"/>
      <c r="C37" s="11" t="s">
        <v>283</v>
      </c>
      <c r="D37" s="2"/>
      <c r="E37" s="21"/>
      <c r="F37" s="2"/>
      <c r="G37" s="21"/>
      <c r="H37" s="2"/>
      <c r="I37" s="21"/>
      <c r="J37" s="2"/>
      <c r="K37" s="21"/>
      <c r="N37" s="83">
        <f>D37*ref_var!$B$12</f>
        <v>0</v>
      </c>
      <c r="O37" s="83">
        <f>F37*ref_var!$B$12</f>
        <v>0</v>
      </c>
      <c r="P37" s="83">
        <f>H37*ref_var!$B$12</f>
        <v>0</v>
      </c>
      <c r="Q37" s="83">
        <f>J37*ref_var!$B$12</f>
        <v>0</v>
      </c>
    </row>
    <row r="38" spans="2:17" x14ac:dyDescent="0.3">
      <c r="B38" s="12"/>
      <c r="C38" s="11" t="s">
        <v>284</v>
      </c>
      <c r="D38" s="3"/>
      <c r="E38" s="22"/>
      <c r="F38" s="3"/>
      <c r="G38" s="22"/>
      <c r="H38" s="3"/>
      <c r="I38" s="22"/>
      <c r="J38" s="3"/>
      <c r="K38" s="22"/>
      <c r="N38" s="83">
        <f>D38*ref_var!$B$13</f>
        <v>0</v>
      </c>
      <c r="O38" s="83">
        <f>F38*ref_var!$B$13</f>
        <v>0</v>
      </c>
      <c r="P38" s="83">
        <f>H38*ref_var!$B$13</f>
        <v>0</v>
      </c>
      <c r="Q38" s="83">
        <f>J38*ref_var!$B$13</f>
        <v>0</v>
      </c>
    </row>
    <row r="39" spans="2:17" x14ac:dyDescent="0.3">
      <c r="B39" s="156" t="s">
        <v>16</v>
      </c>
      <c r="C39" s="157"/>
      <c r="D39" s="157"/>
      <c r="E39" s="157"/>
      <c r="F39" s="157"/>
      <c r="G39" s="157"/>
      <c r="H39" s="157"/>
      <c r="I39" s="157"/>
      <c r="J39" s="157"/>
      <c r="K39" s="157"/>
      <c r="L39" s="90"/>
    </row>
    <row r="40" spans="2:17" x14ac:dyDescent="0.3">
      <c r="B40" s="8"/>
      <c r="C40" s="9" t="s">
        <v>17</v>
      </c>
      <c r="D40" s="18"/>
      <c r="E40" s="21"/>
      <c r="F40" s="2"/>
      <c r="G40" s="21"/>
      <c r="H40" s="2"/>
      <c r="I40" s="21"/>
      <c r="J40" s="2"/>
      <c r="K40" s="21"/>
    </row>
    <row r="41" spans="2:17" x14ac:dyDescent="0.3">
      <c r="B41" s="10"/>
      <c r="C41" s="11" t="s">
        <v>18</v>
      </c>
      <c r="D41" s="2"/>
      <c r="E41" s="21"/>
      <c r="F41" s="2"/>
      <c r="G41" s="21"/>
      <c r="H41" s="2"/>
      <c r="I41" s="21"/>
      <c r="J41" s="2"/>
      <c r="K41" s="21"/>
    </row>
    <row r="42" spans="2:17" x14ac:dyDescent="0.3">
      <c r="B42" s="10"/>
      <c r="C42" s="11" t="s">
        <v>19</v>
      </c>
      <c r="D42" s="2"/>
      <c r="E42" s="21"/>
      <c r="F42" s="2"/>
      <c r="G42" s="21"/>
      <c r="H42" s="2"/>
      <c r="I42" s="21"/>
      <c r="J42" s="2"/>
      <c r="K42" s="21"/>
    </row>
    <row r="43" spans="2:17" x14ac:dyDescent="0.3">
      <c r="B43" s="10"/>
      <c r="C43" s="11" t="s">
        <v>282</v>
      </c>
      <c r="D43" s="2"/>
      <c r="E43" s="21"/>
      <c r="F43" s="2"/>
      <c r="G43" s="21"/>
      <c r="H43" s="2"/>
      <c r="I43" s="21"/>
      <c r="J43" s="2"/>
      <c r="K43" s="21"/>
      <c r="N43" s="83">
        <f>D43*ref_var!$B$12</f>
        <v>0</v>
      </c>
      <c r="O43" s="83">
        <f>F43*ref_var!$B$12</f>
        <v>0</v>
      </c>
      <c r="P43" s="83">
        <f>H43*ref_var!$B$12</f>
        <v>0</v>
      </c>
      <c r="Q43" s="83">
        <f>J43*ref_var!$B$12</f>
        <v>0</v>
      </c>
    </row>
    <row r="44" spans="2:17" x14ac:dyDescent="0.3">
      <c r="B44" s="10"/>
      <c r="C44" s="11" t="s">
        <v>283</v>
      </c>
      <c r="D44" s="2"/>
      <c r="E44" s="21"/>
      <c r="F44" s="2"/>
      <c r="G44" s="21"/>
      <c r="H44" s="2"/>
      <c r="I44" s="21"/>
      <c r="J44" s="2"/>
      <c r="K44" s="21"/>
      <c r="N44" s="83">
        <f>D44*ref_var!$B$12</f>
        <v>0</v>
      </c>
      <c r="O44" s="83">
        <f>F44*ref_var!$B$12</f>
        <v>0</v>
      </c>
      <c r="P44" s="83">
        <f>H44*ref_var!$B$12</f>
        <v>0</v>
      </c>
      <c r="Q44" s="83">
        <f>J44*ref_var!$B$12</f>
        <v>0</v>
      </c>
    </row>
    <row r="45" spans="2:17" x14ac:dyDescent="0.3">
      <c r="B45" s="12"/>
      <c r="C45" s="13" t="s">
        <v>284</v>
      </c>
      <c r="D45" s="3"/>
      <c r="E45" s="22"/>
      <c r="F45" s="3"/>
      <c r="G45" s="22"/>
      <c r="H45" s="3"/>
      <c r="I45" s="22"/>
      <c r="J45" s="3"/>
      <c r="K45" s="22"/>
      <c r="N45" s="83">
        <f>D45*ref_var!$B$13</f>
        <v>0</v>
      </c>
      <c r="O45" s="83">
        <f>F45*ref_var!$B$13</f>
        <v>0</v>
      </c>
      <c r="P45" s="83">
        <f>H45*ref_var!$B$13</f>
        <v>0</v>
      </c>
      <c r="Q45" s="83">
        <f>J45*ref_var!$B$13</f>
        <v>0</v>
      </c>
    </row>
    <row r="47" spans="2:17" s="23" customFormat="1" x14ac:dyDescent="0.3">
      <c r="B47" s="14" t="s">
        <v>7</v>
      </c>
    </row>
    <row r="48" spans="2:17" s="23" customFormat="1" x14ac:dyDescent="0.3">
      <c r="B48" s="163" t="s">
        <v>285</v>
      </c>
      <c r="C48" s="163"/>
      <c r="D48" s="163"/>
      <c r="E48" s="163"/>
      <c r="F48" s="163"/>
      <c r="G48" s="163"/>
      <c r="H48" s="163"/>
      <c r="I48" s="163"/>
      <c r="J48" s="163"/>
      <c r="K48" s="163"/>
    </row>
  </sheetData>
  <sheetProtection algorithmName="SHA-512" hashValue="BqY+pYQcuhC/FOnxyEJbACNe0xux0C/q2K9OrQoRl+oNp5SnCERCwzgOvrf0Abhphjs9Nm3AoX9yPTHDFhTL1A==" saltValue="1XFFjG1hCDdfr4SkW6bf0w==" spinCount="100000" sheet="1" objects="1" scenarios="1" selectLockedCells="1"/>
  <mergeCells count="20">
    <mergeCell ref="B11:K11"/>
    <mergeCell ref="B10:C10"/>
    <mergeCell ref="B1:K1"/>
    <mergeCell ref="B2:K2"/>
    <mergeCell ref="B4:K4"/>
    <mergeCell ref="D6:K6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8:K18"/>
    <mergeCell ref="B25:K25"/>
    <mergeCell ref="B32:K32"/>
    <mergeCell ref="B39:K39"/>
    <mergeCell ref="B48:K48"/>
  </mergeCells>
  <conditionalFormatting sqref="D6:K6">
    <cfRule type="cellIs" dxfId="6" priority="1" operator="equal">
      <formula>"Veuillez consulter l'onglet Instructions."</formula>
    </cfRule>
  </conditionalFormatting>
  <printOptions horizontalCentered="1"/>
  <pageMargins left="0.19685039370078741" right="0.19685039370078741" top="0.31496062992125984" bottom="0.31496062992125984" header="0.31496062992125984" footer="0.23622047244094491"/>
  <pageSetup scale="84" orientation="portrait" blackAndWhite="1" r:id="rId1"/>
  <headerFooter>
    <oddHeader>&amp;L&amp;G</oddHeader>
    <oddFooter>&amp;LMinistère des Transports, de la Mobilité durable et de l'Électrification des transports (2018-05)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B1:Q133"/>
  <sheetViews>
    <sheetView showGridLines="0" zoomScaleNormal="100" workbookViewId="0">
      <selection activeCell="H12" sqref="H12"/>
    </sheetView>
  </sheetViews>
  <sheetFormatPr baseColWidth="10" defaultColWidth="11.44140625" defaultRowHeight="14.4" x14ac:dyDescent="0.3"/>
  <cols>
    <col min="1" max="2" width="1.6640625" style="23" customWidth="1"/>
    <col min="3" max="3" width="42.6640625" style="23" customWidth="1"/>
    <col min="4" max="7" width="11.5546875" style="23" hidden="1" customWidth="1"/>
    <col min="8" max="11" width="11.5546875" style="23" customWidth="1"/>
    <col min="12" max="12" width="1.6640625" style="23" customWidth="1"/>
    <col min="13" max="13" width="11.44140625" style="23"/>
    <col min="14" max="17" width="0" style="23" hidden="1" customWidth="1"/>
    <col min="18" max="16384" width="11.44140625" style="23"/>
  </cols>
  <sheetData>
    <row r="1" spans="2:17" s="126" customFormat="1" ht="18" x14ac:dyDescent="0.3">
      <c r="B1" s="145" t="s">
        <v>23</v>
      </c>
      <c r="C1" s="145"/>
      <c r="D1" s="145"/>
      <c r="E1" s="145"/>
      <c r="F1" s="145"/>
      <c r="G1" s="145"/>
      <c r="H1" s="145"/>
      <c r="I1" s="145"/>
      <c r="J1" s="145"/>
      <c r="K1" s="145"/>
    </row>
    <row r="2" spans="2:17" ht="15.6" x14ac:dyDescent="0.3">
      <c r="B2" s="146" t="s">
        <v>40</v>
      </c>
      <c r="C2" s="146"/>
      <c r="D2" s="146"/>
      <c r="E2" s="146"/>
      <c r="F2" s="146"/>
      <c r="G2" s="146"/>
      <c r="H2" s="146"/>
      <c r="I2" s="146"/>
      <c r="J2" s="146"/>
      <c r="K2" s="146"/>
    </row>
    <row r="3" spans="2:17" ht="8.25" customHeight="1" x14ac:dyDescent="0.3">
      <c r="B3" s="6"/>
      <c r="C3" s="6"/>
      <c r="D3" s="6"/>
      <c r="E3" s="6"/>
      <c r="F3" s="6"/>
      <c r="G3" s="6"/>
      <c r="H3" s="6"/>
      <c r="I3" s="6"/>
      <c r="J3" s="6"/>
      <c r="K3" s="6"/>
    </row>
    <row r="4" spans="2:17" ht="15.6" x14ac:dyDescent="0.3">
      <c r="B4" s="147" t="s">
        <v>274</v>
      </c>
      <c r="C4" s="147"/>
      <c r="D4" s="147"/>
      <c r="E4" s="147"/>
      <c r="F4" s="147"/>
      <c r="G4" s="147"/>
      <c r="H4" s="147"/>
      <c r="I4" s="147"/>
      <c r="J4" s="147"/>
      <c r="K4" s="147"/>
    </row>
    <row r="5" spans="2:17" ht="15.6" x14ac:dyDescent="0.3">
      <c r="B5" s="6"/>
      <c r="C5" s="6"/>
      <c r="D5" s="6"/>
      <c r="E5" s="6"/>
      <c r="F5" s="6"/>
      <c r="G5" s="6"/>
      <c r="H5" s="6"/>
      <c r="I5" s="6"/>
      <c r="J5" s="6"/>
      <c r="K5" s="6"/>
    </row>
    <row r="6" spans="2:17" ht="15.6" x14ac:dyDescent="0.3">
      <c r="B6" s="6" t="s">
        <v>41</v>
      </c>
      <c r="C6" s="6"/>
      <c r="D6" s="149" t="str">
        <f>ref_var!$F$28</f>
        <v>Veuillez consulter l'onglet Instructions.</v>
      </c>
      <c r="E6" s="149"/>
      <c r="F6" s="149"/>
      <c r="G6" s="149"/>
      <c r="H6" s="149"/>
      <c r="I6" s="149"/>
      <c r="J6" s="149"/>
      <c r="K6" s="149"/>
    </row>
    <row r="8" spans="2:17" ht="30" customHeight="1" x14ac:dyDescent="0.3">
      <c r="B8" s="7"/>
      <c r="C8" s="7"/>
      <c r="D8" s="150">
        <f>ref_ges!A4</f>
        <v>2021</v>
      </c>
      <c r="E8" s="151"/>
      <c r="F8" s="150">
        <f>ref_ges!A5</f>
        <v>2022</v>
      </c>
      <c r="G8" s="151"/>
      <c r="H8" s="150">
        <f>ref_ges!A6</f>
        <v>2023</v>
      </c>
      <c r="I8" s="151"/>
      <c r="J8" s="150">
        <f>ref_ges!A7</f>
        <v>2024</v>
      </c>
      <c r="K8" s="151"/>
      <c r="N8" s="83">
        <f>ref_ges!A4</f>
        <v>2021</v>
      </c>
      <c r="O8" s="83">
        <f>ref_ges!A5</f>
        <v>2022</v>
      </c>
      <c r="P8" s="83">
        <f>ref_ges!A6</f>
        <v>2023</v>
      </c>
      <c r="Q8" s="83">
        <f>ref_ges!A7</f>
        <v>2024</v>
      </c>
    </row>
    <row r="9" spans="2:17" x14ac:dyDescent="0.3">
      <c r="B9" s="159" t="s">
        <v>218</v>
      </c>
      <c r="C9" s="160"/>
      <c r="D9" s="154"/>
      <c r="E9" s="155"/>
      <c r="F9" s="154"/>
      <c r="G9" s="155"/>
      <c r="H9" s="154"/>
      <c r="I9" s="155"/>
      <c r="J9" s="154"/>
      <c r="K9" s="155"/>
      <c r="N9" s="83"/>
      <c r="O9" s="83"/>
      <c r="P9" s="83"/>
      <c r="Q9" s="83"/>
    </row>
    <row r="10" spans="2:17" ht="27.6" x14ac:dyDescent="0.3">
      <c r="B10" s="161" t="s">
        <v>20</v>
      </c>
      <c r="C10" s="162"/>
      <c r="D10" s="19" t="s">
        <v>9</v>
      </c>
      <c r="E10" s="19" t="s">
        <v>24</v>
      </c>
      <c r="F10" s="19" t="s">
        <v>9</v>
      </c>
      <c r="G10" s="19" t="s">
        <v>24</v>
      </c>
      <c r="H10" s="19" t="s">
        <v>9</v>
      </c>
      <c r="I10" s="19" t="s">
        <v>24</v>
      </c>
      <c r="J10" s="19" t="s">
        <v>9</v>
      </c>
      <c r="K10" s="19" t="s">
        <v>24</v>
      </c>
      <c r="N10" s="83">
        <f>SUM(N12:N129)</f>
        <v>0</v>
      </c>
      <c r="O10" s="83">
        <f t="shared" ref="O10:Q10" si="0">SUM(O12:O129)</f>
        <v>0</v>
      </c>
      <c r="P10" s="83">
        <f t="shared" si="0"/>
        <v>0</v>
      </c>
      <c r="Q10" s="83">
        <f t="shared" si="0"/>
        <v>0</v>
      </c>
    </row>
    <row r="11" spans="2:17" x14ac:dyDescent="0.3">
      <c r="B11" s="156" t="s">
        <v>42</v>
      </c>
      <c r="C11" s="157"/>
      <c r="D11" s="157"/>
      <c r="E11" s="157"/>
      <c r="F11" s="157"/>
      <c r="G11" s="157"/>
      <c r="H11" s="157"/>
      <c r="I11" s="157"/>
      <c r="J11" s="157"/>
      <c r="K11" s="158"/>
      <c r="N11" s="83" t="s">
        <v>224</v>
      </c>
      <c r="O11" s="83" t="s">
        <v>224</v>
      </c>
      <c r="P11" s="83" t="s">
        <v>224</v>
      </c>
      <c r="Q11" s="83" t="s">
        <v>224</v>
      </c>
    </row>
    <row r="12" spans="2:17" x14ac:dyDescent="0.3">
      <c r="B12" s="10"/>
      <c r="C12" s="11" t="s">
        <v>34</v>
      </c>
      <c r="D12" s="2"/>
      <c r="E12" s="2"/>
      <c r="F12" s="2"/>
      <c r="G12" s="2"/>
      <c r="H12" s="2"/>
      <c r="I12" s="2"/>
      <c r="J12" s="2"/>
      <c r="K12" s="2"/>
    </row>
    <row r="13" spans="2:17" x14ac:dyDescent="0.3">
      <c r="B13" s="10"/>
      <c r="C13" s="11" t="s">
        <v>36</v>
      </c>
      <c r="D13" s="2"/>
      <c r="E13" s="2"/>
      <c r="F13" s="2"/>
      <c r="G13" s="2"/>
      <c r="H13" s="2"/>
      <c r="I13" s="2"/>
      <c r="J13" s="2"/>
      <c r="K13" s="2"/>
    </row>
    <row r="14" spans="2:17" x14ac:dyDescent="0.3">
      <c r="B14" s="10"/>
      <c r="C14" s="11" t="s">
        <v>37</v>
      </c>
      <c r="D14" s="2"/>
      <c r="E14" s="2"/>
      <c r="F14" s="2"/>
      <c r="G14" s="2"/>
      <c r="H14" s="2"/>
      <c r="I14" s="2"/>
      <c r="J14" s="2"/>
      <c r="K14" s="2"/>
    </row>
    <row r="15" spans="2:17" x14ac:dyDescent="0.3">
      <c r="B15" s="10"/>
      <c r="C15" s="11" t="s">
        <v>321</v>
      </c>
      <c r="D15" s="2"/>
      <c r="E15" s="2"/>
      <c r="F15" s="2"/>
      <c r="G15" s="2"/>
      <c r="H15" s="2"/>
      <c r="I15" s="2"/>
      <c r="J15" s="2"/>
      <c r="K15" s="2"/>
    </row>
    <row r="16" spans="2:17" x14ac:dyDescent="0.3">
      <c r="B16" s="26"/>
      <c r="C16" s="25" t="s">
        <v>38</v>
      </c>
      <c r="D16" s="169"/>
      <c r="E16" s="170"/>
      <c r="F16" s="170"/>
      <c r="G16" s="170"/>
      <c r="H16" s="170"/>
      <c r="I16" s="170"/>
      <c r="J16" s="170"/>
      <c r="K16" s="171"/>
    </row>
    <row r="17" spans="2:17" x14ac:dyDescent="0.3">
      <c r="B17" s="10"/>
      <c r="C17" s="11" t="s">
        <v>33</v>
      </c>
      <c r="D17" s="2"/>
      <c r="E17" s="2"/>
      <c r="F17" s="2"/>
      <c r="G17" s="2"/>
      <c r="H17" s="2"/>
      <c r="I17" s="2"/>
      <c r="J17" s="2"/>
      <c r="K17" s="2"/>
    </row>
    <row r="18" spans="2:17" x14ac:dyDescent="0.3">
      <c r="B18" s="10"/>
      <c r="C18" s="11" t="s">
        <v>25</v>
      </c>
      <c r="D18" s="2"/>
      <c r="E18" s="2"/>
      <c r="F18" s="2"/>
      <c r="G18" s="2"/>
      <c r="H18" s="2"/>
      <c r="I18" s="2"/>
      <c r="J18" s="2"/>
      <c r="K18" s="2"/>
    </row>
    <row r="19" spans="2:17" x14ac:dyDescent="0.3">
      <c r="B19" s="10"/>
      <c r="C19" s="11" t="s">
        <v>275</v>
      </c>
      <c r="D19" s="2"/>
      <c r="E19" s="2"/>
      <c r="F19" s="2"/>
      <c r="G19" s="2"/>
      <c r="H19" s="2"/>
      <c r="I19" s="2"/>
      <c r="J19" s="2"/>
      <c r="K19" s="2"/>
    </row>
    <row r="20" spans="2:17" x14ac:dyDescent="0.3">
      <c r="B20" s="10"/>
      <c r="C20" s="11" t="s">
        <v>2</v>
      </c>
      <c r="D20" s="2"/>
      <c r="E20" s="2"/>
      <c r="F20" s="2"/>
      <c r="G20" s="2"/>
      <c r="H20" s="2"/>
      <c r="I20" s="2"/>
      <c r="J20" s="2"/>
      <c r="K20" s="2"/>
    </row>
    <row r="21" spans="2:17" x14ac:dyDescent="0.3">
      <c r="B21" s="10"/>
      <c r="C21" s="11" t="s">
        <v>277</v>
      </c>
      <c r="D21" s="2"/>
      <c r="E21" s="2"/>
      <c r="F21" s="2"/>
      <c r="G21" s="2"/>
      <c r="H21" s="2"/>
      <c r="I21" s="2"/>
      <c r="J21" s="2"/>
      <c r="K21" s="2"/>
      <c r="N21" s="83">
        <f>D21*ref_var!$B$20</f>
        <v>0</v>
      </c>
      <c r="O21" s="83">
        <f>F21*ref_var!$B$20</f>
        <v>0</v>
      </c>
      <c r="P21" s="83">
        <f>H21*ref_var!$B$20</f>
        <v>0</v>
      </c>
      <c r="Q21" s="83">
        <f>J21*ref_var!$B$20</f>
        <v>0</v>
      </c>
    </row>
    <row r="22" spans="2:17" x14ac:dyDescent="0.3">
      <c r="B22" s="26"/>
      <c r="C22" s="25" t="s">
        <v>39</v>
      </c>
      <c r="D22" s="169"/>
      <c r="E22" s="170"/>
      <c r="F22" s="170"/>
      <c r="G22" s="170"/>
      <c r="H22" s="170"/>
      <c r="I22" s="170"/>
      <c r="J22" s="170"/>
      <c r="K22" s="171"/>
      <c r="N22" s="83"/>
      <c r="O22" s="83"/>
      <c r="P22" s="83"/>
      <c r="Q22" s="83"/>
    </row>
    <row r="23" spans="2:17" x14ac:dyDescent="0.3">
      <c r="B23" s="10"/>
      <c r="C23" s="11" t="s">
        <v>33</v>
      </c>
      <c r="D23" s="2"/>
      <c r="E23" s="2"/>
      <c r="F23" s="2"/>
      <c r="G23" s="2"/>
      <c r="H23" s="2"/>
      <c r="I23" s="2"/>
      <c r="J23" s="2"/>
      <c r="K23" s="2"/>
      <c r="N23" s="83"/>
      <c r="O23" s="83"/>
      <c r="P23" s="83"/>
      <c r="Q23" s="83"/>
    </row>
    <row r="24" spans="2:17" x14ac:dyDescent="0.3">
      <c r="B24" s="10"/>
      <c r="C24" s="11" t="s">
        <v>25</v>
      </c>
      <c r="D24" s="2"/>
      <c r="E24" s="2"/>
      <c r="F24" s="2"/>
      <c r="G24" s="2"/>
      <c r="H24" s="2"/>
      <c r="I24" s="2"/>
      <c r="J24" s="2"/>
      <c r="K24" s="2"/>
      <c r="N24" s="83"/>
      <c r="O24" s="83"/>
      <c r="P24" s="83"/>
      <c r="Q24" s="83"/>
    </row>
    <row r="25" spans="2:17" x14ac:dyDescent="0.3">
      <c r="B25" s="10"/>
      <c r="C25" s="11" t="s">
        <v>275</v>
      </c>
      <c r="D25" s="2"/>
      <c r="E25" s="2"/>
      <c r="F25" s="2"/>
      <c r="G25" s="2"/>
      <c r="H25" s="2"/>
      <c r="I25" s="2"/>
      <c r="J25" s="2"/>
      <c r="K25" s="2"/>
      <c r="N25" s="83"/>
      <c r="O25" s="83"/>
      <c r="P25" s="83"/>
      <c r="Q25" s="83"/>
    </row>
    <row r="26" spans="2:17" x14ac:dyDescent="0.3">
      <c r="B26" s="10"/>
      <c r="C26" s="11" t="s">
        <v>2</v>
      </c>
      <c r="D26" s="2"/>
      <c r="E26" s="2"/>
      <c r="F26" s="2"/>
      <c r="G26" s="2"/>
      <c r="H26" s="2"/>
      <c r="I26" s="2"/>
      <c r="J26" s="2"/>
      <c r="K26" s="2"/>
      <c r="N26" s="83"/>
      <c r="O26" s="83"/>
      <c r="P26" s="83"/>
      <c r="Q26" s="83"/>
    </row>
    <row r="27" spans="2:17" x14ac:dyDescent="0.3">
      <c r="B27" s="12"/>
      <c r="C27" s="13" t="s">
        <v>277</v>
      </c>
      <c r="D27" s="3"/>
      <c r="E27" s="3"/>
      <c r="F27" s="3"/>
      <c r="G27" s="3"/>
      <c r="H27" s="3"/>
      <c r="I27" s="3"/>
      <c r="J27" s="3"/>
      <c r="K27" s="3"/>
      <c r="N27" s="83">
        <f>D27*ref_var!$B$23</f>
        <v>0</v>
      </c>
      <c r="O27" s="83">
        <f>F27*ref_var!$B$23</f>
        <v>0</v>
      </c>
      <c r="P27" s="83">
        <f>H27*ref_var!$B$23</f>
        <v>0</v>
      </c>
      <c r="Q27" s="83">
        <f>J27*ref_var!$B$23</f>
        <v>0</v>
      </c>
    </row>
    <row r="28" spans="2:17" x14ac:dyDescent="0.3">
      <c r="B28" s="156" t="s">
        <v>27</v>
      </c>
      <c r="C28" s="157"/>
      <c r="D28" s="157"/>
      <c r="E28" s="157"/>
      <c r="F28" s="157"/>
      <c r="G28" s="157"/>
      <c r="H28" s="157"/>
      <c r="I28" s="157"/>
      <c r="J28" s="157"/>
      <c r="K28" s="158"/>
    </row>
    <row r="29" spans="2:17" x14ac:dyDescent="0.3">
      <c r="B29" s="10"/>
      <c r="C29" s="11" t="s">
        <v>34</v>
      </c>
      <c r="D29" s="2"/>
      <c r="E29" s="2"/>
      <c r="F29" s="2"/>
      <c r="G29" s="2"/>
      <c r="H29" s="2"/>
      <c r="I29" s="2"/>
      <c r="J29" s="2"/>
      <c r="K29" s="2"/>
    </row>
    <row r="30" spans="2:17" x14ac:dyDescent="0.3">
      <c r="B30" s="10"/>
      <c r="C30" s="11" t="s">
        <v>36</v>
      </c>
      <c r="D30" s="2"/>
      <c r="E30" s="2"/>
      <c r="F30" s="2"/>
      <c r="G30" s="2"/>
      <c r="H30" s="2"/>
      <c r="I30" s="2"/>
      <c r="J30" s="2"/>
      <c r="K30" s="2"/>
    </row>
    <row r="31" spans="2:17" x14ac:dyDescent="0.3">
      <c r="B31" s="10"/>
      <c r="C31" s="11" t="s">
        <v>37</v>
      </c>
      <c r="D31" s="2"/>
      <c r="E31" s="2"/>
      <c r="F31" s="2"/>
      <c r="G31" s="2"/>
      <c r="H31" s="2"/>
      <c r="I31" s="2"/>
      <c r="J31" s="2"/>
      <c r="K31" s="2"/>
    </row>
    <row r="32" spans="2:17" x14ac:dyDescent="0.3">
      <c r="B32" s="10"/>
      <c r="C32" s="11" t="s">
        <v>321</v>
      </c>
      <c r="D32" s="2"/>
      <c r="E32" s="2"/>
      <c r="F32" s="2"/>
      <c r="G32" s="2"/>
      <c r="H32" s="2"/>
      <c r="I32" s="2"/>
      <c r="J32" s="2"/>
      <c r="K32" s="2"/>
    </row>
    <row r="33" spans="2:17" x14ac:dyDescent="0.3">
      <c r="B33" s="26"/>
      <c r="C33" s="25" t="s">
        <v>32</v>
      </c>
      <c r="D33" s="169"/>
      <c r="E33" s="170"/>
      <c r="F33" s="170"/>
      <c r="G33" s="170"/>
      <c r="H33" s="170"/>
      <c r="I33" s="170"/>
      <c r="J33" s="170"/>
      <c r="K33" s="171"/>
    </row>
    <row r="34" spans="2:17" x14ac:dyDescent="0.3">
      <c r="B34" s="10"/>
      <c r="C34" s="11" t="s">
        <v>33</v>
      </c>
      <c r="D34" s="2"/>
      <c r="E34" s="2"/>
      <c r="F34" s="2"/>
      <c r="G34" s="2"/>
      <c r="H34" s="2"/>
      <c r="I34" s="2"/>
      <c r="J34" s="2"/>
      <c r="K34" s="2"/>
    </row>
    <row r="35" spans="2:17" x14ac:dyDescent="0.3">
      <c r="B35" s="10"/>
      <c r="C35" s="11" t="s">
        <v>25</v>
      </c>
      <c r="D35" s="2"/>
      <c r="E35" s="2"/>
      <c r="F35" s="2"/>
      <c r="G35" s="2"/>
      <c r="H35" s="2"/>
      <c r="I35" s="2"/>
      <c r="J35" s="2"/>
      <c r="K35" s="2"/>
    </row>
    <row r="36" spans="2:17" x14ac:dyDescent="0.3">
      <c r="B36" s="10"/>
      <c r="C36" s="11" t="s">
        <v>275</v>
      </c>
      <c r="D36" s="2"/>
      <c r="E36" s="2"/>
      <c r="F36" s="2"/>
      <c r="G36" s="2"/>
      <c r="H36" s="2"/>
      <c r="I36" s="2"/>
      <c r="J36" s="2"/>
      <c r="K36" s="2"/>
    </row>
    <row r="37" spans="2:17" x14ac:dyDescent="0.3">
      <c r="B37" s="10"/>
      <c r="C37" s="11" t="s">
        <v>2</v>
      </c>
      <c r="D37" s="2"/>
      <c r="E37" s="2"/>
      <c r="F37" s="2"/>
      <c r="G37" s="2"/>
      <c r="H37" s="2"/>
      <c r="I37" s="2"/>
      <c r="J37" s="2"/>
      <c r="K37" s="2"/>
    </row>
    <row r="38" spans="2:17" x14ac:dyDescent="0.3">
      <c r="B38" s="10"/>
      <c r="C38" s="11" t="s">
        <v>277</v>
      </c>
      <c r="D38" s="2"/>
      <c r="E38" s="2"/>
      <c r="F38" s="2"/>
      <c r="G38" s="2"/>
      <c r="H38" s="2"/>
      <c r="I38" s="2"/>
      <c r="J38" s="2"/>
      <c r="K38" s="2"/>
      <c r="N38" s="83">
        <f>D38*ref_var!$B$20</f>
        <v>0</v>
      </c>
      <c r="O38" s="83">
        <f>F38*ref_var!$B$20</f>
        <v>0</v>
      </c>
      <c r="P38" s="83">
        <f>H38*ref_var!$B$20</f>
        <v>0</v>
      </c>
      <c r="Q38" s="83">
        <f>J38*ref_var!$B$20</f>
        <v>0</v>
      </c>
    </row>
    <row r="39" spans="2:17" x14ac:dyDescent="0.3">
      <c r="B39" s="26"/>
      <c r="C39" s="25" t="s">
        <v>35</v>
      </c>
      <c r="D39" s="169"/>
      <c r="E39" s="170"/>
      <c r="F39" s="170"/>
      <c r="G39" s="170"/>
      <c r="H39" s="170"/>
      <c r="I39" s="170"/>
      <c r="J39" s="170"/>
      <c r="K39" s="171"/>
      <c r="N39" s="83"/>
      <c r="O39" s="83"/>
      <c r="P39" s="83"/>
      <c r="Q39" s="83"/>
    </row>
    <row r="40" spans="2:17" x14ac:dyDescent="0.3">
      <c r="B40" s="10"/>
      <c r="C40" s="11" t="s">
        <v>33</v>
      </c>
      <c r="D40" s="2"/>
      <c r="E40" s="2"/>
      <c r="F40" s="2"/>
      <c r="G40" s="2"/>
      <c r="H40" s="2"/>
      <c r="I40" s="2"/>
      <c r="J40" s="2"/>
      <c r="K40" s="2"/>
      <c r="N40" s="83"/>
      <c r="O40" s="83"/>
      <c r="P40" s="83"/>
      <c r="Q40" s="83"/>
    </row>
    <row r="41" spans="2:17" x14ac:dyDescent="0.3">
      <c r="B41" s="10"/>
      <c r="C41" s="11" t="s">
        <v>25</v>
      </c>
      <c r="D41" s="2"/>
      <c r="E41" s="2"/>
      <c r="F41" s="2"/>
      <c r="G41" s="2"/>
      <c r="H41" s="2"/>
      <c r="I41" s="2"/>
      <c r="J41" s="2"/>
      <c r="K41" s="2"/>
      <c r="N41" s="83"/>
      <c r="O41" s="83"/>
      <c r="P41" s="83"/>
      <c r="Q41" s="83"/>
    </row>
    <row r="42" spans="2:17" x14ac:dyDescent="0.3">
      <c r="B42" s="10"/>
      <c r="C42" s="11" t="s">
        <v>275</v>
      </c>
      <c r="D42" s="2"/>
      <c r="E42" s="2"/>
      <c r="F42" s="2"/>
      <c r="G42" s="2"/>
      <c r="H42" s="2"/>
      <c r="I42" s="2"/>
      <c r="J42" s="2"/>
      <c r="K42" s="2"/>
      <c r="N42" s="83"/>
      <c r="O42" s="83"/>
      <c r="P42" s="83"/>
      <c r="Q42" s="83"/>
    </row>
    <row r="43" spans="2:17" x14ac:dyDescent="0.3">
      <c r="B43" s="10"/>
      <c r="C43" s="11" t="s">
        <v>2</v>
      </c>
      <c r="D43" s="2"/>
      <c r="E43" s="2"/>
      <c r="F43" s="2"/>
      <c r="G43" s="2"/>
      <c r="H43" s="2"/>
      <c r="I43" s="2"/>
      <c r="J43" s="2"/>
      <c r="K43" s="2"/>
      <c r="N43" s="83"/>
      <c r="O43" s="83"/>
      <c r="P43" s="83"/>
      <c r="Q43" s="83"/>
    </row>
    <row r="44" spans="2:17" x14ac:dyDescent="0.3">
      <c r="B44" s="12"/>
      <c r="C44" s="13" t="s">
        <v>277</v>
      </c>
      <c r="D44" s="3"/>
      <c r="E44" s="3"/>
      <c r="F44" s="3"/>
      <c r="G44" s="3"/>
      <c r="H44" s="3"/>
      <c r="I44" s="3"/>
      <c r="J44" s="3"/>
      <c r="K44" s="3"/>
      <c r="N44" s="83">
        <f>D44*ref_var!$B$23</f>
        <v>0</v>
      </c>
      <c r="O44" s="83">
        <f>F44*ref_var!$B$23</f>
        <v>0</v>
      </c>
      <c r="P44" s="83">
        <f>H44*ref_var!$B$23</f>
        <v>0</v>
      </c>
      <c r="Q44" s="83">
        <f>J44*ref_var!$B$23</f>
        <v>0</v>
      </c>
    </row>
    <row r="45" spans="2:17" x14ac:dyDescent="0.3">
      <c r="B45" s="156" t="s">
        <v>28</v>
      </c>
      <c r="C45" s="157"/>
      <c r="D45" s="157"/>
      <c r="E45" s="157"/>
      <c r="F45" s="157"/>
      <c r="G45" s="157"/>
      <c r="H45" s="157"/>
      <c r="I45" s="157"/>
      <c r="J45" s="157"/>
      <c r="K45" s="158"/>
    </row>
    <row r="46" spans="2:17" x14ac:dyDescent="0.3">
      <c r="B46" s="10"/>
      <c r="C46" s="11" t="s">
        <v>34</v>
      </c>
      <c r="D46" s="2"/>
      <c r="E46" s="2"/>
      <c r="F46" s="2"/>
      <c r="G46" s="2"/>
      <c r="H46" s="2"/>
      <c r="I46" s="2"/>
      <c r="J46" s="2"/>
      <c r="K46" s="2"/>
    </row>
    <row r="47" spans="2:17" x14ac:dyDescent="0.3">
      <c r="B47" s="10"/>
      <c r="C47" s="11" t="s">
        <v>36</v>
      </c>
      <c r="D47" s="2"/>
      <c r="E47" s="2"/>
      <c r="F47" s="2"/>
      <c r="G47" s="2"/>
      <c r="H47" s="2"/>
      <c r="I47" s="2"/>
      <c r="J47" s="2"/>
      <c r="K47" s="2"/>
    </row>
    <row r="48" spans="2:17" x14ac:dyDescent="0.3">
      <c r="B48" s="10"/>
      <c r="C48" s="11" t="s">
        <v>37</v>
      </c>
      <c r="D48" s="2"/>
      <c r="E48" s="2"/>
      <c r="F48" s="2"/>
      <c r="G48" s="2"/>
      <c r="H48" s="2"/>
      <c r="I48" s="2"/>
      <c r="J48" s="2"/>
      <c r="K48" s="2"/>
    </row>
    <row r="49" spans="2:17" x14ac:dyDescent="0.3">
      <c r="B49" s="10"/>
      <c r="C49" s="11" t="s">
        <v>321</v>
      </c>
      <c r="D49" s="2"/>
      <c r="E49" s="2"/>
      <c r="F49" s="2"/>
      <c r="G49" s="2"/>
      <c r="H49" s="2"/>
      <c r="I49" s="2"/>
      <c r="J49" s="2"/>
      <c r="K49" s="2"/>
    </row>
    <row r="50" spans="2:17" x14ac:dyDescent="0.3">
      <c r="B50" s="26"/>
      <c r="C50" s="25" t="s">
        <v>32</v>
      </c>
      <c r="D50" s="169"/>
      <c r="E50" s="170"/>
      <c r="F50" s="170"/>
      <c r="G50" s="170"/>
      <c r="H50" s="170"/>
      <c r="I50" s="170"/>
      <c r="J50" s="170"/>
      <c r="K50" s="171"/>
    </row>
    <row r="51" spans="2:17" x14ac:dyDescent="0.3">
      <c r="B51" s="10"/>
      <c r="C51" s="11" t="s">
        <v>33</v>
      </c>
      <c r="D51" s="2"/>
      <c r="E51" s="2"/>
      <c r="F51" s="2"/>
      <c r="G51" s="2"/>
      <c r="H51" s="2"/>
      <c r="I51" s="2"/>
      <c r="J51" s="2"/>
      <c r="K51" s="2"/>
    </row>
    <row r="52" spans="2:17" x14ac:dyDescent="0.3">
      <c r="B52" s="10"/>
      <c r="C52" s="11" t="s">
        <v>25</v>
      </c>
      <c r="D52" s="2"/>
      <c r="E52" s="2"/>
      <c r="F52" s="2"/>
      <c r="G52" s="2"/>
      <c r="H52" s="2"/>
      <c r="I52" s="2"/>
      <c r="J52" s="2"/>
      <c r="K52" s="2"/>
    </row>
    <row r="53" spans="2:17" x14ac:dyDescent="0.3">
      <c r="B53" s="10"/>
      <c r="C53" s="11" t="s">
        <v>275</v>
      </c>
      <c r="D53" s="2"/>
      <c r="E53" s="2"/>
      <c r="F53" s="2"/>
      <c r="G53" s="2"/>
      <c r="H53" s="2"/>
      <c r="I53" s="2"/>
      <c r="J53" s="2"/>
      <c r="K53" s="2"/>
    </row>
    <row r="54" spans="2:17" x14ac:dyDescent="0.3">
      <c r="B54" s="10"/>
      <c r="C54" s="11" t="s">
        <v>2</v>
      </c>
      <c r="D54" s="2"/>
      <c r="E54" s="2"/>
      <c r="F54" s="2"/>
      <c r="G54" s="2"/>
      <c r="H54" s="2"/>
      <c r="I54" s="2"/>
      <c r="J54" s="2"/>
      <c r="K54" s="2"/>
    </row>
    <row r="55" spans="2:17" x14ac:dyDescent="0.3">
      <c r="B55" s="10"/>
      <c r="C55" s="11" t="s">
        <v>277</v>
      </c>
      <c r="D55" s="2"/>
      <c r="E55" s="2"/>
      <c r="F55" s="2"/>
      <c r="G55" s="2"/>
      <c r="H55" s="2"/>
      <c r="I55" s="2"/>
      <c r="J55" s="2"/>
      <c r="K55" s="2"/>
      <c r="N55" s="83">
        <f>D55*ref_var!$B$20</f>
        <v>0</v>
      </c>
      <c r="O55" s="83">
        <f>F55*ref_var!$B$20</f>
        <v>0</v>
      </c>
      <c r="P55" s="83">
        <f>H55*ref_var!$B$20</f>
        <v>0</v>
      </c>
      <c r="Q55" s="83">
        <f>J55*ref_var!$B$20</f>
        <v>0</v>
      </c>
    </row>
    <row r="56" spans="2:17" x14ac:dyDescent="0.3">
      <c r="B56" s="26"/>
      <c r="C56" s="25" t="s">
        <v>35</v>
      </c>
      <c r="D56" s="169"/>
      <c r="E56" s="170"/>
      <c r="F56" s="170"/>
      <c r="G56" s="170"/>
      <c r="H56" s="170"/>
      <c r="I56" s="170"/>
      <c r="J56" s="170"/>
      <c r="K56" s="171"/>
      <c r="N56" s="83"/>
      <c r="O56" s="83"/>
      <c r="P56" s="83"/>
      <c r="Q56" s="83"/>
    </row>
    <row r="57" spans="2:17" x14ac:dyDescent="0.3">
      <c r="B57" s="10"/>
      <c r="C57" s="11" t="s">
        <v>33</v>
      </c>
      <c r="D57" s="2"/>
      <c r="E57" s="2"/>
      <c r="F57" s="2"/>
      <c r="G57" s="2"/>
      <c r="H57" s="2"/>
      <c r="I57" s="2"/>
      <c r="J57" s="2"/>
      <c r="K57" s="2"/>
      <c r="N57" s="83"/>
      <c r="O57" s="83"/>
      <c r="P57" s="83"/>
      <c r="Q57" s="83"/>
    </row>
    <row r="58" spans="2:17" x14ac:dyDescent="0.3">
      <c r="B58" s="10"/>
      <c r="C58" s="11" t="s">
        <v>25</v>
      </c>
      <c r="D58" s="2"/>
      <c r="E58" s="2"/>
      <c r="F58" s="2"/>
      <c r="G58" s="2"/>
      <c r="H58" s="2"/>
      <c r="I58" s="2"/>
      <c r="J58" s="2"/>
      <c r="K58" s="2"/>
      <c r="N58" s="83"/>
      <c r="O58" s="83"/>
      <c r="P58" s="83"/>
      <c r="Q58" s="83"/>
    </row>
    <row r="59" spans="2:17" x14ac:dyDescent="0.3">
      <c r="B59" s="10"/>
      <c r="C59" s="11" t="s">
        <v>275</v>
      </c>
      <c r="D59" s="2"/>
      <c r="E59" s="2"/>
      <c r="F59" s="2"/>
      <c r="G59" s="2"/>
      <c r="H59" s="2"/>
      <c r="I59" s="2"/>
      <c r="J59" s="2"/>
      <c r="K59" s="2"/>
      <c r="N59" s="83"/>
      <c r="O59" s="83"/>
      <c r="P59" s="83"/>
      <c r="Q59" s="83"/>
    </row>
    <row r="60" spans="2:17" x14ac:dyDescent="0.3">
      <c r="B60" s="10"/>
      <c r="C60" s="11" t="s">
        <v>2</v>
      </c>
      <c r="D60" s="2"/>
      <c r="E60" s="2"/>
      <c r="F60" s="2"/>
      <c r="G60" s="2"/>
      <c r="H60" s="2"/>
      <c r="I60" s="2"/>
      <c r="J60" s="2"/>
      <c r="K60" s="2"/>
      <c r="N60" s="83"/>
      <c r="O60" s="83"/>
      <c r="P60" s="83"/>
      <c r="Q60" s="83"/>
    </row>
    <row r="61" spans="2:17" x14ac:dyDescent="0.3">
      <c r="B61" s="12"/>
      <c r="C61" s="13" t="s">
        <v>277</v>
      </c>
      <c r="D61" s="3"/>
      <c r="E61" s="3"/>
      <c r="F61" s="3"/>
      <c r="G61" s="3"/>
      <c r="H61" s="3"/>
      <c r="I61" s="3"/>
      <c r="J61" s="3"/>
      <c r="K61" s="3"/>
      <c r="N61" s="83">
        <f>D61*ref_var!$B$23</f>
        <v>0</v>
      </c>
      <c r="O61" s="83">
        <f>F61*ref_var!$B$23</f>
        <v>0</v>
      </c>
      <c r="P61" s="83">
        <f>H61*ref_var!$B$23</f>
        <v>0</v>
      </c>
      <c r="Q61" s="83">
        <f>J61*ref_var!$B$23</f>
        <v>0</v>
      </c>
    </row>
    <row r="62" spans="2:17" x14ac:dyDescent="0.3">
      <c r="B62" s="156" t="s">
        <v>29</v>
      </c>
      <c r="C62" s="157"/>
      <c r="D62" s="157"/>
      <c r="E62" s="157"/>
      <c r="F62" s="157"/>
      <c r="G62" s="157"/>
      <c r="H62" s="157"/>
      <c r="I62" s="157"/>
      <c r="J62" s="157"/>
      <c r="K62" s="158"/>
    </row>
    <row r="63" spans="2:17" x14ac:dyDescent="0.3">
      <c r="B63" s="10"/>
      <c r="C63" s="11" t="s">
        <v>34</v>
      </c>
      <c r="D63" s="2"/>
      <c r="E63" s="2"/>
      <c r="F63" s="2"/>
      <c r="G63" s="2"/>
      <c r="H63" s="2"/>
      <c r="I63" s="2"/>
      <c r="J63" s="2"/>
      <c r="K63" s="2"/>
    </row>
    <row r="64" spans="2:17" x14ac:dyDescent="0.3">
      <c r="B64" s="10"/>
      <c r="C64" s="11" t="s">
        <v>36</v>
      </c>
      <c r="D64" s="2"/>
      <c r="E64" s="2"/>
      <c r="F64" s="2"/>
      <c r="G64" s="2"/>
      <c r="H64" s="2"/>
      <c r="I64" s="2"/>
      <c r="J64" s="2"/>
      <c r="K64" s="2"/>
    </row>
    <row r="65" spans="2:17" x14ac:dyDescent="0.3">
      <c r="B65" s="10"/>
      <c r="C65" s="11" t="s">
        <v>37</v>
      </c>
      <c r="D65" s="2"/>
      <c r="E65" s="2"/>
      <c r="F65" s="2"/>
      <c r="G65" s="2"/>
      <c r="H65" s="2"/>
      <c r="I65" s="2"/>
      <c r="J65" s="2"/>
      <c r="K65" s="2"/>
    </row>
    <row r="66" spans="2:17" x14ac:dyDescent="0.3">
      <c r="B66" s="10"/>
      <c r="C66" s="11" t="s">
        <v>321</v>
      </c>
      <c r="D66" s="2"/>
      <c r="E66" s="2"/>
      <c r="F66" s="2"/>
      <c r="G66" s="2"/>
      <c r="H66" s="2"/>
      <c r="I66" s="2"/>
      <c r="J66" s="2"/>
      <c r="K66" s="2"/>
    </row>
    <row r="67" spans="2:17" x14ac:dyDescent="0.3">
      <c r="B67" s="26"/>
      <c r="C67" s="25" t="s">
        <v>32</v>
      </c>
      <c r="D67" s="169"/>
      <c r="E67" s="170"/>
      <c r="F67" s="170"/>
      <c r="G67" s="170"/>
      <c r="H67" s="170"/>
      <c r="I67" s="170"/>
      <c r="J67" s="170"/>
      <c r="K67" s="171"/>
    </row>
    <row r="68" spans="2:17" x14ac:dyDescent="0.3">
      <c r="B68" s="10"/>
      <c r="C68" s="11" t="s">
        <v>33</v>
      </c>
      <c r="D68" s="2"/>
      <c r="E68" s="2"/>
      <c r="F68" s="2"/>
      <c r="G68" s="2"/>
      <c r="H68" s="2"/>
      <c r="I68" s="2"/>
      <c r="J68" s="2"/>
      <c r="K68" s="2"/>
    </row>
    <row r="69" spans="2:17" x14ac:dyDescent="0.3">
      <c r="B69" s="10"/>
      <c r="C69" s="11" t="s">
        <v>25</v>
      </c>
      <c r="D69" s="2"/>
      <c r="E69" s="2"/>
      <c r="F69" s="2"/>
      <c r="G69" s="2"/>
      <c r="H69" s="2"/>
      <c r="I69" s="2"/>
      <c r="J69" s="2"/>
      <c r="K69" s="2"/>
    </row>
    <row r="70" spans="2:17" x14ac:dyDescent="0.3">
      <c r="B70" s="10"/>
      <c r="C70" s="11" t="s">
        <v>275</v>
      </c>
      <c r="D70" s="2"/>
      <c r="E70" s="2"/>
      <c r="F70" s="2"/>
      <c r="G70" s="2"/>
      <c r="H70" s="2"/>
      <c r="I70" s="2"/>
      <c r="J70" s="2"/>
      <c r="K70" s="2"/>
    </row>
    <row r="71" spans="2:17" x14ac:dyDescent="0.3">
      <c r="B71" s="10"/>
      <c r="C71" s="11" t="s">
        <v>2</v>
      </c>
      <c r="D71" s="2"/>
      <c r="E71" s="2"/>
      <c r="F71" s="2"/>
      <c r="G71" s="2"/>
      <c r="H71" s="2"/>
      <c r="I71" s="2"/>
      <c r="J71" s="2"/>
      <c r="K71" s="2"/>
    </row>
    <row r="72" spans="2:17" x14ac:dyDescent="0.3">
      <c r="B72" s="10"/>
      <c r="C72" s="11" t="s">
        <v>277</v>
      </c>
      <c r="D72" s="2"/>
      <c r="E72" s="2"/>
      <c r="F72" s="2"/>
      <c r="G72" s="2"/>
      <c r="H72" s="2"/>
      <c r="I72" s="2"/>
      <c r="J72" s="2"/>
      <c r="K72" s="2"/>
      <c r="N72" s="83">
        <f>D72*ref_var!$B$20</f>
        <v>0</v>
      </c>
      <c r="O72" s="83">
        <f>F72*ref_var!$B$20</f>
        <v>0</v>
      </c>
      <c r="P72" s="83">
        <f>H72*ref_var!$B$20</f>
        <v>0</v>
      </c>
      <c r="Q72" s="83">
        <f>J72*ref_var!$B$20</f>
        <v>0</v>
      </c>
    </row>
    <row r="73" spans="2:17" x14ac:dyDescent="0.3">
      <c r="B73" s="26"/>
      <c r="C73" s="25" t="s">
        <v>35</v>
      </c>
      <c r="D73" s="169"/>
      <c r="E73" s="170"/>
      <c r="F73" s="170"/>
      <c r="G73" s="170"/>
      <c r="H73" s="170"/>
      <c r="I73" s="170"/>
      <c r="J73" s="170"/>
      <c r="K73" s="171"/>
      <c r="N73" s="83"/>
      <c r="O73" s="83"/>
      <c r="P73" s="83"/>
      <c r="Q73" s="83"/>
    </row>
    <row r="74" spans="2:17" x14ac:dyDescent="0.3">
      <c r="B74" s="10"/>
      <c r="C74" s="11" t="s">
        <v>33</v>
      </c>
      <c r="D74" s="2"/>
      <c r="E74" s="2"/>
      <c r="F74" s="2"/>
      <c r="G74" s="2"/>
      <c r="H74" s="2"/>
      <c r="I74" s="2"/>
      <c r="J74" s="2"/>
      <c r="K74" s="2"/>
      <c r="N74" s="83"/>
      <c r="O74" s="83"/>
      <c r="P74" s="83"/>
      <c r="Q74" s="83"/>
    </row>
    <row r="75" spans="2:17" x14ac:dyDescent="0.3">
      <c r="B75" s="10"/>
      <c r="C75" s="11" t="s">
        <v>25</v>
      </c>
      <c r="D75" s="2"/>
      <c r="E75" s="2"/>
      <c r="F75" s="2"/>
      <c r="G75" s="2"/>
      <c r="H75" s="2"/>
      <c r="I75" s="2"/>
      <c r="J75" s="2"/>
      <c r="K75" s="2"/>
      <c r="N75" s="83"/>
      <c r="O75" s="83"/>
      <c r="P75" s="83"/>
      <c r="Q75" s="83"/>
    </row>
    <row r="76" spans="2:17" x14ac:dyDescent="0.3">
      <c r="B76" s="10"/>
      <c r="C76" s="11" t="s">
        <v>275</v>
      </c>
      <c r="D76" s="2"/>
      <c r="E76" s="2"/>
      <c r="F76" s="2"/>
      <c r="G76" s="2"/>
      <c r="H76" s="2"/>
      <c r="I76" s="2"/>
      <c r="J76" s="2"/>
      <c r="K76" s="2"/>
      <c r="N76" s="83"/>
      <c r="O76" s="83"/>
      <c r="P76" s="83"/>
      <c r="Q76" s="83"/>
    </row>
    <row r="77" spans="2:17" x14ac:dyDescent="0.3">
      <c r="B77" s="10"/>
      <c r="C77" s="11" t="s">
        <v>2</v>
      </c>
      <c r="D77" s="2"/>
      <c r="E77" s="2"/>
      <c r="F77" s="2"/>
      <c r="G77" s="2"/>
      <c r="H77" s="2"/>
      <c r="I77" s="2"/>
      <c r="J77" s="2"/>
      <c r="K77" s="2"/>
      <c r="N77" s="83"/>
      <c r="O77" s="83"/>
      <c r="P77" s="83"/>
      <c r="Q77" s="83"/>
    </row>
    <row r="78" spans="2:17" x14ac:dyDescent="0.3">
      <c r="B78" s="12"/>
      <c r="C78" s="13" t="s">
        <v>277</v>
      </c>
      <c r="D78" s="3"/>
      <c r="E78" s="3"/>
      <c r="F78" s="3"/>
      <c r="G78" s="3"/>
      <c r="H78" s="3"/>
      <c r="I78" s="3"/>
      <c r="J78" s="3"/>
      <c r="K78" s="3"/>
      <c r="N78" s="83">
        <f>D78*ref_var!$B$23</f>
        <v>0</v>
      </c>
      <c r="O78" s="83">
        <f>F78*ref_var!$B$23</f>
        <v>0</v>
      </c>
      <c r="P78" s="83">
        <f>H78*ref_var!$B$23</f>
        <v>0</v>
      </c>
      <c r="Q78" s="83">
        <f>J78*ref_var!$B$23</f>
        <v>0</v>
      </c>
    </row>
    <row r="79" spans="2:17" x14ac:dyDescent="0.3">
      <c r="B79" s="156" t="s">
        <v>30</v>
      </c>
      <c r="C79" s="157"/>
      <c r="D79" s="157"/>
      <c r="E79" s="157"/>
      <c r="F79" s="157"/>
      <c r="G79" s="157"/>
      <c r="H79" s="157"/>
      <c r="I79" s="157"/>
      <c r="J79" s="157"/>
      <c r="K79" s="158"/>
    </row>
    <row r="80" spans="2:17" x14ac:dyDescent="0.3">
      <c r="B80" s="10"/>
      <c r="C80" s="11" t="s">
        <v>34</v>
      </c>
      <c r="D80" s="2"/>
      <c r="E80" s="2"/>
      <c r="F80" s="2"/>
      <c r="G80" s="2"/>
      <c r="H80" s="2"/>
      <c r="I80" s="2"/>
      <c r="J80" s="2"/>
      <c r="K80" s="2"/>
    </row>
    <row r="81" spans="2:17" x14ac:dyDescent="0.3">
      <c r="B81" s="10"/>
      <c r="C81" s="11" t="s">
        <v>36</v>
      </c>
      <c r="D81" s="2"/>
      <c r="E81" s="2"/>
      <c r="F81" s="2"/>
      <c r="G81" s="2"/>
      <c r="H81" s="2"/>
      <c r="I81" s="2"/>
      <c r="J81" s="2"/>
      <c r="K81" s="2"/>
    </row>
    <row r="82" spans="2:17" x14ac:dyDescent="0.3">
      <c r="B82" s="10"/>
      <c r="C82" s="11" t="s">
        <v>37</v>
      </c>
      <c r="D82" s="2"/>
      <c r="E82" s="2"/>
      <c r="F82" s="2"/>
      <c r="G82" s="2"/>
      <c r="H82" s="2"/>
      <c r="I82" s="2"/>
      <c r="J82" s="2"/>
      <c r="K82" s="2"/>
    </row>
    <row r="83" spans="2:17" x14ac:dyDescent="0.3">
      <c r="B83" s="10"/>
      <c r="C83" s="11" t="s">
        <v>321</v>
      </c>
      <c r="D83" s="2"/>
      <c r="E83" s="2"/>
      <c r="F83" s="2"/>
      <c r="G83" s="2"/>
      <c r="H83" s="2"/>
      <c r="I83" s="2"/>
      <c r="J83" s="2"/>
      <c r="K83" s="2"/>
    </row>
    <row r="84" spans="2:17" x14ac:dyDescent="0.3">
      <c r="B84" s="26"/>
      <c r="C84" s="25" t="s">
        <v>32</v>
      </c>
      <c r="D84" s="169"/>
      <c r="E84" s="170"/>
      <c r="F84" s="170"/>
      <c r="G84" s="170"/>
      <c r="H84" s="170"/>
      <c r="I84" s="170"/>
      <c r="J84" s="170"/>
      <c r="K84" s="171"/>
    </row>
    <row r="85" spans="2:17" x14ac:dyDescent="0.3">
      <c r="B85" s="10"/>
      <c r="C85" s="11" t="s">
        <v>33</v>
      </c>
      <c r="D85" s="2"/>
      <c r="E85" s="2"/>
      <c r="F85" s="2"/>
      <c r="G85" s="2"/>
      <c r="H85" s="2"/>
      <c r="I85" s="2"/>
      <c r="J85" s="2"/>
      <c r="K85" s="2"/>
    </row>
    <row r="86" spans="2:17" x14ac:dyDescent="0.3">
      <c r="B86" s="10"/>
      <c r="C86" s="11" t="s">
        <v>25</v>
      </c>
      <c r="D86" s="2"/>
      <c r="E86" s="2"/>
      <c r="F86" s="2"/>
      <c r="G86" s="2"/>
      <c r="H86" s="2"/>
      <c r="I86" s="2"/>
      <c r="J86" s="2"/>
      <c r="K86" s="2"/>
    </row>
    <row r="87" spans="2:17" x14ac:dyDescent="0.3">
      <c r="B87" s="10"/>
      <c r="C87" s="11" t="s">
        <v>275</v>
      </c>
      <c r="D87" s="2"/>
      <c r="E87" s="2"/>
      <c r="F87" s="2"/>
      <c r="G87" s="2"/>
      <c r="H87" s="2"/>
      <c r="I87" s="2"/>
      <c r="J87" s="2"/>
      <c r="K87" s="2"/>
    </row>
    <row r="88" spans="2:17" x14ac:dyDescent="0.3">
      <c r="B88" s="10"/>
      <c r="C88" s="11" t="s">
        <v>2</v>
      </c>
      <c r="D88" s="2"/>
      <c r="E88" s="2"/>
      <c r="F88" s="2"/>
      <c r="G88" s="2"/>
      <c r="H88" s="2"/>
      <c r="I88" s="2"/>
      <c r="J88" s="2"/>
      <c r="K88" s="2"/>
    </row>
    <row r="89" spans="2:17" x14ac:dyDescent="0.3">
      <c r="B89" s="10"/>
      <c r="C89" s="11" t="s">
        <v>277</v>
      </c>
      <c r="D89" s="2"/>
      <c r="E89" s="2"/>
      <c r="F89" s="2"/>
      <c r="G89" s="2"/>
      <c r="H89" s="2"/>
      <c r="I89" s="2"/>
      <c r="J89" s="2"/>
      <c r="K89" s="2"/>
      <c r="N89" s="83">
        <f>D89*ref_var!$B$20</f>
        <v>0</v>
      </c>
      <c r="O89" s="83">
        <f>F89*ref_var!$B$20</f>
        <v>0</v>
      </c>
      <c r="P89" s="83">
        <f>H89*ref_var!$B$20</f>
        <v>0</v>
      </c>
      <c r="Q89" s="83">
        <f>J89*ref_var!$B$20</f>
        <v>0</v>
      </c>
    </row>
    <row r="90" spans="2:17" x14ac:dyDescent="0.3">
      <c r="B90" s="26"/>
      <c r="C90" s="25" t="s">
        <v>35</v>
      </c>
      <c r="D90" s="169"/>
      <c r="E90" s="170"/>
      <c r="F90" s="170"/>
      <c r="G90" s="170"/>
      <c r="H90" s="170"/>
      <c r="I90" s="170"/>
      <c r="J90" s="170"/>
      <c r="K90" s="171"/>
      <c r="N90" s="83"/>
      <c r="O90" s="83"/>
      <c r="P90" s="83"/>
      <c r="Q90" s="83"/>
    </row>
    <row r="91" spans="2:17" x14ac:dyDescent="0.3">
      <c r="B91" s="10"/>
      <c r="C91" s="11" t="s">
        <v>33</v>
      </c>
      <c r="D91" s="2"/>
      <c r="E91" s="2"/>
      <c r="F91" s="2"/>
      <c r="G91" s="2"/>
      <c r="H91" s="2"/>
      <c r="I91" s="2"/>
      <c r="J91" s="2"/>
      <c r="K91" s="2"/>
      <c r="N91" s="83"/>
      <c r="O91" s="83"/>
      <c r="P91" s="83"/>
      <c r="Q91" s="83"/>
    </row>
    <row r="92" spans="2:17" x14ac:dyDescent="0.3">
      <c r="B92" s="10"/>
      <c r="C92" s="11" t="s">
        <v>25</v>
      </c>
      <c r="D92" s="2"/>
      <c r="E92" s="2"/>
      <c r="F92" s="2"/>
      <c r="G92" s="2"/>
      <c r="H92" s="2"/>
      <c r="I92" s="2"/>
      <c r="J92" s="2"/>
      <c r="K92" s="2"/>
      <c r="N92" s="83"/>
      <c r="O92" s="83"/>
      <c r="P92" s="83"/>
      <c r="Q92" s="83"/>
    </row>
    <row r="93" spans="2:17" x14ac:dyDescent="0.3">
      <c r="B93" s="10"/>
      <c r="C93" s="11" t="s">
        <v>275</v>
      </c>
      <c r="D93" s="2"/>
      <c r="E93" s="2"/>
      <c r="F93" s="2"/>
      <c r="G93" s="2"/>
      <c r="H93" s="2"/>
      <c r="I93" s="2"/>
      <c r="J93" s="2"/>
      <c r="K93" s="2"/>
      <c r="N93" s="83"/>
      <c r="O93" s="83"/>
      <c r="P93" s="83"/>
      <c r="Q93" s="83"/>
    </row>
    <row r="94" spans="2:17" x14ac:dyDescent="0.3">
      <c r="B94" s="10"/>
      <c r="C94" s="11" t="s">
        <v>2</v>
      </c>
      <c r="D94" s="2"/>
      <c r="E94" s="2"/>
      <c r="F94" s="2"/>
      <c r="G94" s="2"/>
      <c r="H94" s="2"/>
      <c r="I94" s="2"/>
      <c r="J94" s="2"/>
      <c r="K94" s="2"/>
      <c r="N94" s="83"/>
      <c r="O94" s="83"/>
      <c r="P94" s="83"/>
      <c r="Q94" s="83"/>
    </row>
    <row r="95" spans="2:17" x14ac:dyDescent="0.3">
      <c r="B95" s="12"/>
      <c r="C95" s="13" t="s">
        <v>277</v>
      </c>
      <c r="D95" s="3"/>
      <c r="E95" s="3"/>
      <c r="F95" s="3"/>
      <c r="G95" s="3"/>
      <c r="H95" s="3"/>
      <c r="I95" s="3"/>
      <c r="J95" s="3"/>
      <c r="K95" s="3"/>
      <c r="N95" s="83">
        <f>D95*ref_var!$B$23</f>
        <v>0</v>
      </c>
      <c r="O95" s="83">
        <f>F95*ref_var!$B$23</f>
        <v>0</v>
      </c>
      <c r="P95" s="83">
        <f>H95*ref_var!$B$23</f>
        <v>0</v>
      </c>
      <c r="Q95" s="83">
        <f>J95*ref_var!$B$23</f>
        <v>0</v>
      </c>
    </row>
    <row r="96" spans="2:17" x14ac:dyDescent="0.3">
      <c r="B96" s="156" t="s">
        <v>31</v>
      </c>
      <c r="C96" s="157"/>
      <c r="D96" s="157"/>
      <c r="E96" s="157"/>
      <c r="F96" s="157"/>
      <c r="G96" s="157"/>
      <c r="H96" s="157"/>
      <c r="I96" s="157"/>
      <c r="J96" s="157"/>
      <c r="K96" s="158"/>
    </row>
    <row r="97" spans="2:17" x14ac:dyDescent="0.3">
      <c r="B97" s="10"/>
      <c r="C97" s="11" t="s">
        <v>34</v>
      </c>
      <c r="D97" s="2"/>
      <c r="E97" s="2"/>
      <c r="F97" s="2"/>
      <c r="G97" s="2"/>
      <c r="H97" s="2"/>
      <c r="I97" s="2"/>
      <c r="J97" s="2"/>
      <c r="K97" s="2"/>
    </row>
    <row r="98" spans="2:17" x14ac:dyDescent="0.3">
      <c r="B98" s="10"/>
      <c r="C98" s="11" t="s">
        <v>36</v>
      </c>
      <c r="D98" s="2"/>
      <c r="E98" s="2"/>
      <c r="F98" s="2"/>
      <c r="G98" s="2"/>
      <c r="H98" s="2"/>
      <c r="I98" s="2"/>
      <c r="J98" s="2"/>
      <c r="K98" s="2"/>
    </row>
    <row r="99" spans="2:17" x14ac:dyDescent="0.3">
      <c r="B99" s="10"/>
      <c r="C99" s="11" t="s">
        <v>37</v>
      </c>
      <c r="D99" s="2"/>
      <c r="E99" s="2"/>
      <c r="F99" s="2"/>
      <c r="G99" s="2"/>
      <c r="H99" s="2"/>
      <c r="I99" s="2"/>
      <c r="J99" s="2"/>
      <c r="K99" s="2"/>
    </row>
    <row r="100" spans="2:17" x14ac:dyDescent="0.3">
      <c r="B100" s="10"/>
      <c r="C100" s="11" t="s">
        <v>321</v>
      </c>
      <c r="D100" s="2"/>
      <c r="E100" s="2"/>
      <c r="F100" s="2"/>
      <c r="G100" s="2"/>
      <c r="H100" s="2"/>
      <c r="I100" s="2"/>
      <c r="J100" s="2"/>
      <c r="K100" s="2"/>
    </row>
    <row r="101" spans="2:17" x14ac:dyDescent="0.3">
      <c r="B101" s="26"/>
      <c r="C101" s="25" t="s">
        <v>32</v>
      </c>
      <c r="D101" s="169"/>
      <c r="E101" s="170"/>
      <c r="F101" s="170"/>
      <c r="G101" s="170"/>
      <c r="H101" s="170"/>
      <c r="I101" s="170"/>
      <c r="J101" s="170"/>
      <c r="K101" s="171"/>
    </row>
    <row r="102" spans="2:17" x14ac:dyDescent="0.3">
      <c r="B102" s="10"/>
      <c r="C102" s="11" t="s">
        <v>33</v>
      </c>
      <c r="D102" s="2"/>
      <c r="E102" s="2"/>
      <c r="F102" s="2"/>
      <c r="G102" s="2"/>
      <c r="H102" s="2"/>
      <c r="I102" s="2"/>
      <c r="J102" s="2"/>
      <c r="K102" s="2"/>
    </row>
    <row r="103" spans="2:17" x14ac:dyDescent="0.3">
      <c r="B103" s="10"/>
      <c r="C103" s="11" t="s">
        <v>25</v>
      </c>
      <c r="D103" s="2"/>
      <c r="E103" s="2"/>
      <c r="F103" s="2"/>
      <c r="G103" s="2"/>
      <c r="H103" s="2"/>
      <c r="I103" s="2"/>
      <c r="J103" s="2"/>
      <c r="K103" s="2"/>
    </row>
    <row r="104" spans="2:17" x14ac:dyDescent="0.3">
      <c r="B104" s="10"/>
      <c r="C104" s="11" t="s">
        <v>275</v>
      </c>
      <c r="D104" s="2"/>
      <c r="E104" s="2"/>
      <c r="F104" s="2"/>
      <c r="G104" s="2"/>
      <c r="H104" s="2"/>
      <c r="I104" s="2"/>
      <c r="J104" s="2"/>
      <c r="K104" s="2"/>
    </row>
    <row r="105" spans="2:17" x14ac:dyDescent="0.3">
      <c r="B105" s="10"/>
      <c r="C105" s="11" t="s">
        <v>2</v>
      </c>
      <c r="D105" s="2"/>
      <c r="E105" s="2"/>
      <c r="F105" s="2"/>
      <c r="G105" s="2"/>
      <c r="H105" s="2"/>
      <c r="I105" s="2"/>
      <c r="J105" s="2"/>
      <c r="K105" s="2"/>
    </row>
    <row r="106" spans="2:17" x14ac:dyDescent="0.3">
      <c r="B106" s="10"/>
      <c r="C106" s="11" t="s">
        <v>277</v>
      </c>
      <c r="D106" s="2"/>
      <c r="E106" s="2"/>
      <c r="F106" s="2"/>
      <c r="G106" s="2"/>
      <c r="H106" s="2"/>
      <c r="I106" s="2"/>
      <c r="J106" s="2"/>
      <c r="K106" s="2"/>
      <c r="N106" s="83">
        <f>D106*ref_var!$B$20</f>
        <v>0</v>
      </c>
      <c r="O106" s="83">
        <f>F106*ref_var!$B$20</f>
        <v>0</v>
      </c>
      <c r="P106" s="83">
        <f>H106*ref_var!$B$20</f>
        <v>0</v>
      </c>
      <c r="Q106" s="83">
        <f>J106*ref_var!$B$20</f>
        <v>0</v>
      </c>
    </row>
    <row r="107" spans="2:17" x14ac:dyDescent="0.3">
      <c r="B107" s="26"/>
      <c r="C107" s="25" t="s">
        <v>35</v>
      </c>
      <c r="D107" s="169"/>
      <c r="E107" s="170"/>
      <c r="F107" s="170"/>
      <c r="G107" s="170"/>
      <c r="H107" s="170"/>
      <c r="I107" s="170"/>
      <c r="J107" s="170"/>
      <c r="K107" s="171"/>
      <c r="N107" s="83"/>
      <c r="O107" s="83"/>
      <c r="P107" s="83"/>
      <c r="Q107" s="83"/>
    </row>
    <row r="108" spans="2:17" x14ac:dyDescent="0.3">
      <c r="B108" s="10"/>
      <c r="C108" s="11" t="s">
        <v>33</v>
      </c>
      <c r="D108" s="2"/>
      <c r="E108" s="2"/>
      <c r="F108" s="2"/>
      <c r="G108" s="2"/>
      <c r="H108" s="2"/>
      <c r="I108" s="2"/>
      <c r="J108" s="2"/>
      <c r="K108" s="2"/>
      <c r="N108" s="83"/>
      <c r="O108" s="83"/>
      <c r="P108" s="83"/>
      <c r="Q108" s="83"/>
    </row>
    <row r="109" spans="2:17" x14ac:dyDescent="0.3">
      <c r="B109" s="10"/>
      <c r="C109" s="11" t="s">
        <v>25</v>
      </c>
      <c r="D109" s="2"/>
      <c r="E109" s="2"/>
      <c r="F109" s="2"/>
      <c r="G109" s="2"/>
      <c r="H109" s="2"/>
      <c r="I109" s="2"/>
      <c r="J109" s="2"/>
      <c r="K109" s="2"/>
      <c r="N109" s="83"/>
      <c r="O109" s="83"/>
      <c r="P109" s="83"/>
      <c r="Q109" s="83"/>
    </row>
    <row r="110" spans="2:17" x14ac:dyDescent="0.3">
      <c r="B110" s="10"/>
      <c r="C110" s="11" t="s">
        <v>275</v>
      </c>
      <c r="D110" s="2"/>
      <c r="E110" s="2"/>
      <c r="F110" s="2"/>
      <c r="G110" s="2"/>
      <c r="H110" s="2"/>
      <c r="I110" s="2"/>
      <c r="J110" s="2"/>
      <c r="K110" s="2"/>
      <c r="N110" s="83"/>
      <c r="O110" s="83"/>
      <c r="P110" s="83"/>
      <c r="Q110" s="83"/>
    </row>
    <row r="111" spans="2:17" x14ac:dyDescent="0.3">
      <c r="B111" s="10"/>
      <c r="C111" s="11" t="s">
        <v>2</v>
      </c>
      <c r="D111" s="2"/>
      <c r="E111" s="2"/>
      <c r="F111" s="2"/>
      <c r="G111" s="2"/>
      <c r="H111" s="2"/>
      <c r="I111" s="2"/>
      <c r="J111" s="2"/>
      <c r="K111" s="2"/>
      <c r="N111" s="83"/>
      <c r="O111" s="83"/>
      <c r="P111" s="83"/>
      <c r="Q111" s="83"/>
    </row>
    <row r="112" spans="2:17" x14ac:dyDescent="0.3">
      <c r="B112" s="12"/>
      <c r="C112" s="13" t="s">
        <v>277</v>
      </c>
      <c r="D112" s="3"/>
      <c r="E112" s="3"/>
      <c r="F112" s="3"/>
      <c r="G112" s="3"/>
      <c r="H112" s="3"/>
      <c r="I112" s="3"/>
      <c r="J112" s="3"/>
      <c r="K112" s="3"/>
      <c r="N112" s="83">
        <f>D112*ref_var!$B$23</f>
        <v>0</v>
      </c>
      <c r="O112" s="83">
        <f>F112*ref_var!$B$23</f>
        <v>0</v>
      </c>
      <c r="P112" s="83">
        <f>H112*ref_var!$B$23</f>
        <v>0</v>
      </c>
      <c r="Q112" s="83">
        <f>J112*ref_var!$B$23</f>
        <v>0</v>
      </c>
    </row>
    <row r="113" spans="2:17" x14ac:dyDescent="0.3">
      <c r="B113" s="166" t="s">
        <v>226</v>
      </c>
      <c r="C113" s="167"/>
      <c r="D113" s="164"/>
      <c r="E113" s="164"/>
      <c r="F113" s="164"/>
      <c r="G113" s="164"/>
      <c r="H113" s="164"/>
      <c r="I113" s="164"/>
      <c r="J113" s="164"/>
      <c r="K113" s="165"/>
    </row>
    <row r="114" spans="2:17" x14ac:dyDescent="0.3">
      <c r="B114" s="10"/>
      <c r="C114" s="11" t="s">
        <v>34</v>
      </c>
      <c r="D114" s="2"/>
      <c r="E114" s="2"/>
      <c r="F114" s="2"/>
      <c r="G114" s="2"/>
      <c r="H114" s="2"/>
      <c r="I114" s="2"/>
      <c r="J114" s="2"/>
      <c r="K114" s="2"/>
    </row>
    <row r="115" spans="2:17" x14ac:dyDescent="0.3">
      <c r="B115" s="10"/>
      <c r="C115" s="11" t="s">
        <v>36</v>
      </c>
      <c r="D115" s="2"/>
      <c r="E115" s="2"/>
      <c r="F115" s="2"/>
      <c r="G115" s="2"/>
      <c r="H115" s="2"/>
      <c r="I115" s="2"/>
      <c r="J115" s="2"/>
      <c r="K115" s="2"/>
    </row>
    <row r="116" spans="2:17" x14ac:dyDescent="0.3">
      <c r="B116" s="10"/>
      <c r="C116" s="11" t="s">
        <v>37</v>
      </c>
      <c r="D116" s="2"/>
      <c r="E116" s="2"/>
      <c r="F116" s="2"/>
      <c r="G116" s="2"/>
      <c r="H116" s="2"/>
      <c r="I116" s="2"/>
      <c r="J116" s="2"/>
      <c r="K116" s="2"/>
    </row>
    <row r="117" spans="2:17" x14ac:dyDescent="0.3">
      <c r="B117" s="10"/>
      <c r="C117" s="11" t="s">
        <v>321</v>
      </c>
      <c r="D117" s="2"/>
      <c r="E117" s="2"/>
      <c r="F117" s="2"/>
      <c r="G117" s="2"/>
      <c r="H117" s="2"/>
      <c r="I117" s="2"/>
      <c r="J117" s="2"/>
      <c r="K117" s="2"/>
    </row>
    <row r="118" spans="2:17" x14ac:dyDescent="0.3">
      <c r="B118" s="26"/>
      <c r="C118" s="25" t="s">
        <v>32</v>
      </c>
      <c r="D118" s="169"/>
      <c r="E118" s="170"/>
      <c r="F118" s="170"/>
      <c r="G118" s="170"/>
      <c r="H118" s="170"/>
      <c r="I118" s="170"/>
      <c r="J118" s="170"/>
      <c r="K118" s="171"/>
    </row>
    <row r="119" spans="2:17" x14ac:dyDescent="0.3">
      <c r="B119" s="10"/>
      <c r="C119" s="11" t="s">
        <v>33</v>
      </c>
      <c r="D119" s="2"/>
      <c r="E119" s="2"/>
      <c r="F119" s="2"/>
      <c r="G119" s="2"/>
      <c r="H119" s="2"/>
      <c r="I119" s="2"/>
      <c r="J119" s="2"/>
      <c r="K119" s="2"/>
    </row>
    <row r="120" spans="2:17" x14ac:dyDescent="0.3">
      <c r="B120" s="10"/>
      <c r="C120" s="11" t="s">
        <v>25</v>
      </c>
      <c r="D120" s="2"/>
      <c r="E120" s="2"/>
      <c r="F120" s="2"/>
      <c r="G120" s="2"/>
      <c r="H120" s="2"/>
      <c r="I120" s="2"/>
      <c r="J120" s="2"/>
      <c r="K120" s="2"/>
    </row>
    <row r="121" spans="2:17" x14ac:dyDescent="0.3">
      <c r="B121" s="10"/>
      <c r="C121" s="11" t="s">
        <v>275</v>
      </c>
      <c r="D121" s="2"/>
      <c r="E121" s="2"/>
      <c r="F121" s="2"/>
      <c r="G121" s="2"/>
      <c r="H121" s="2"/>
      <c r="I121" s="2"/>
      <c r="J121" s="2"/>
      <c r="K121" s="2"/>
    </row>
    <row r="122" spans="2:17" x14ac:dyDescent="0.3">
      <c r="B122" s="10"/>
      <c r="C122" s="11" t="s">
        <v>2</v>
      </c>
      <c r="D122" s="2"/>
      <c r="E122" s="2"/>
      <c r="F122" s="2"/>
      <c r="G122" s="2"/>
      <c r="H122" s="2"/>
      <c r="I122" s="2"/>
      <c r="J122" s="2"/>
      <c r="K122" s="2"/>
    </row>
    <row r="123" spans="2:17" x14ac:dyDescent="0.3">
      <c r="B123" s="10"/>
      <c r="C123" s="11" t="s">
        <v>277</v>
      </c>
      <c r="D123" s="2"/>
      <c r="E123" s="2"/>
      <c r="F123" s="2"/>
      <c r="G123" s="2"/>
      <c r="H123" s="2"/>
      <c r="I123" s="2"/>
      <c r="J123" s="2"/>
      <c r="K123" s="2"/>
      <c r="N123" s="83">
        <f>D123*ref_var!$B$20</f>
        <v>0</v>
      </c>
      <c r="O123" s="83">
        <f>F123*ref_var!$B$20</f>
        <v>0</v>
      </c>
      <c r="P123" s="83">
        <f>H123*ref_var!$B$20</f>
        <v>0</v>
      </c>
      <c r="Q123" s="83">
        <f>J123*ref_var!$B$20</f>
        <v>0</v>
      </c>
    </row>
    <row r="124" spans="2:17" x14ac:dyDescent="0.3">
      <c r="B124" s="26"/>
      <c r="C124" s="25" t="s">
        <v>35</v>
      </c>
      <c r="D124" s="169"/>
      <c r="E124" s="170"/>
      <c r="F124" s="170"/>
      <c r="G124" s="170"/>
      <c r="H124" s="170"/>
      <c r="I124" s="170"/>
      <c r="J124" s="170"/>
      <c r="K124" s="171"/>
      <c r="N124" s="83"/>
      <c r="O124" s="83"/>
      <c r="P124" s="83"/>
      <c r="Q124" s="83"/>
    </row>
    <row r="125" spans="2:17" x14ac:dyDescent="0.3">
      <c r="B125" s="10"/>
      <c r="C125" s="11" t="s">
        <v>33</v>
      </c>
      <c r="D125" s="2"/>
      <c r="E125" s="2"/>
      <c r="F125" s="2"/>
      <c r="G125" s="2"/>
      <c r="H125" s="2"/>
      <c r="I125" s="2"/>
      <c r="J125" s="2"/>
      <c r="K125" s="2"/>
      <c r="N125" s="83"/>
      <c r="O125" s="83"/>
      <c r="P125" s="83"/>
      <c r="Q125" s="83"/>
    </row>
    <row r="126" spans="2:17" x14ac:dyDescent="0.3">
      <c r="B126" s="10"/>
      <c r="C126" s="11" t="s">
        <v>25</v>
      </c>
      <c r="D126" s="2"/>
      <c r="E126" s="2"/>
      <c r="F126" s="2"/>
      <c r="G126" s="2"/>
      <c r="H126" s="2"/>
      <c r="I126" s="2"/>
      <c r="J126" s="2"/>
      <c r="K126" s="2"/>
      <c r="N126" s="83"/>
      <c r="O126" s="83"/>
      <c r="P126" s="83"/>
      <c r="Q126" s="83"/>
    </row>
    <row r="127" spans="2:17" x14ac:dyDescent="0.3">
      <c r="B127" s="10"/>
      <c r="C127" s="11" t="s">
        <v>275</v>
      </c>
      <c r="D127" s="2"/>
      <c r="E127" s="2"/>
      <c r="F127" s="2"/>
      <c r="G127" s="2"/>
      <c r="H127" s="2"/>
      <c r="I127" s="2"/>
      <c r="J127" s="2"/>
      <c r="K127" s="2"/>
      <c r="N127" s="83"/>
      <c r="O127" s="83"/>
      <c r="P127" s="83"/>
      <c r="Q127" s="83"/>
    </row>
    <row r="128" spans="2:17" x14ac:dyDescent="0.3">
      <c r="B128" s="10"/>
      <c r="C128" s="11" t="s">
        <v>2</v>
      </c>
      <c r="D128" s="2"/>
      <c r="E128" s="2"/>
      <c r="F128" s="2"/>
      <c r="G128" s="2"/>
      <c r="H128" s="2"/>
      <c r="I128" s="2"/>
      <c r="J128" s="2"/>
      <c r="K128" s="2"/>
      <c r="N128" s="83"/>
      <c r="O128" s="83"/>
      <c r="P128" s="83"/>
      <c r="Q128" s="83"/>
    </row>
    <row r="129" spans="2:17" x14ac:dyDescent="0.3">
      <c r="B129" s="12"/>
      <c r="C129" s="13" t="s">
        <v>277</v>
      </c>
      <c r="D129" s="3"/>
      <c r="E129" s="3"/>
      <c r="F129" s="3"/>
      <c r="G129" s="3"/>
      <c r="H129" s="3"/>
      <c r="I129" s="3"/>
      <c r="J129" s="3"/>
      <c r="K129" s="3"/>
      <c r="N129" s="83">
        <f>D129*ref_var!$B$23</f>
        <v>0</v>
      </c>
      <c r="O129" s="83">
        <f>F129*ref_var!$B$23</f>
        <v>0</v>
      </c>
      <c r="P129" s="83">
        <f>H129*ref_var!$B$23</f>
        <v>0</v>
      </c>
      <c r="Q129" s="83">
        <f>J129*ref_var!$B$23</f>
        <v>0</v>
      </c>
    </row>
    <row r="131" spans="2:17" x14ac:dyDescent="0.3">
      <c r="B131" s="14" t="s">
        <v>7</v>
      </c>
    </row>
    <row r="132" spans="2:17" x14ac:dyDescent="0.3">
      <c r="B132" s="163" t="s">
        <v>278</v>
      </c>
      <c r="C132" s="163"/>
      <c r="D132" s="163"/>
      <c r="E132" s="163"/>
      <c r="F132" s="163"/>
      <c r="G132" s="163"/>
      <c r="H132" s="163"/>
      <c r="I132" s="163"/>
      <c r="J132" s="163"/>
      <c r="K132" s="163"/>
    </row>
    <row r="133" spans="2:17" x14ac:dyDescent="0.3">
      <c r="B133" s="163" t="s">
        <v>279</v>
      </c>
      <c r="C133" s="163"/>
      <c r="D133" s="163"/>
      <c r="E133" s="163"/>
      <c r="F133" s="163"/>
      <c r="G133" s="163"/>
      <c r="H133" s="163"/>
      <c r="I133" s="163"/>
      <c r="J133" s="163"/>
      <c r="K133" s="163"/>
    </row>
  </sheetData>
  <sheetProtection algorithmName="SHA-512" hashValue="fr2uxYiJ83UguSvulInxDYn/l3WM+A1/vfaqWrosEy2CqdfDwH+MngfB+oorOmeMkMnCNiv/Bo+jNp14VFDGtA==" saltValue="wMwMn0Z1khCI2D6DQk73pw==" spinCount="100000" sheet="1" objects="1" scenarios="1" selectLockedCells="1"/>
  <mergeCells count="38">
    <mergeCell ref="D118:K118"/>
    <mergeCell ref="D124:K124"/>
    <mergeCell ref="B133:K133"/>
    <mergeCell ref="B96:K96"/>
    <mergeCell ref="D22:K22"/>
    <mergeCell ref="D67:K67"/>
    <mergeCell ref="D73:K73"/>
    <mergeCell ref="B113:C113"/>
    <mergeCell ref="D113:K113"/>
    <mergeCell ref="B132:K132"/>
    <mergeCell ref="D84:K84"/>
    <mergeCell ref="D90:K90"/>
    <mergeCell ref="D101:K101"/>
    <mergeCell ref="D107:K107"/>
    <mergeCell ref="B11:K11"/>
    <mergeCell ref="B28:K28"/>
    <mergeCell ref="B45:K45"/>
    <mergeCell ref="B62:K62"/>
    <mergeCell ref="B79:K79"/>
    <mergeCell ref="D16:K16"/>
    <mergeCell ref="D33:K33"/>
    <mergeCell ref="D39:K39"/>
    <mergeCell ref="D50:K50"/>
    <mergeCell ref="D56:K56"/>
    <mergeCell ref="B10:C10"/>
    <mergeCell ref="B1:K1"/>
    <mergeCell ref="B2:K2"/>
    <mergeCell ref="B4:K4"/>
    <mergeCell ref="D6:K6"/>
    <mergeCell ref="D8:E8"/>
    <mergeCell ref="F8:G8"/>
    <mergeCell ref="H8:I8"/>
    <mergeCell ref="J8:K8"/>
    <mergeCell ref="B9:C9"/>
    <mergeCell ref="D9:E9"/>
    <mergeCell ref="F9:G9"/>
    <mergeCell ref="H9:I9"/>
    <mergeCell ref="J9:K9"/>
  </mergeCells>
  <conditionalFormatting sqref="D6:K6">
    <cfRule type="cellIs" dxfId="5" priority="1" operator="equal">
      <formula>"Veuillez consulter l'onglet Instructions."</formula>
    </cfRule>
  </conditionalFormatting>
  <printOptions horizontalCentered="1"/>
  <pageMargins left="0.19685039370078741" right="0.19685039370078741" top="0.31496062992125984" bottom="0.31496062992125984" header="0.31496062992125984" footer="0.23622047244094491"/>
  <pageSetup scale="62" fitToHeight="2" orientation="portrait" blackAndWhite="1" r:id="rId1"/>
  <headerFooter>
    <oddHeader>&amp;L&amp;G</oddHeader>
    <oddFooter>&amp;LMinistère des Transports, de la Mobilité durable et de l'Électrification des transports (2018-05)</oddFooter>
  </headerFooter>
  <rowBreaks count="1" manualBreakCount="1">
    <brk id="78" max="16383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826B-263C-4C5D-9B5D-08BBA8EAF545}">
  <sheetPr>
    <tabColor theme="0" tint="-0.14999847407452621"/>
    <pageSetUpPr fitToPage="1"/>
  </sheetPr>
  <dimension ref="B1:K26"/>
  <sheetViews>
    <sheetView showGridLines="0" zoomScale="90" zoomScaleNormal="90" workbookViewId="0">
      <selection activeCell="D12" sqref="D12"/>
    </sheetView>
  </sheetViews>
  <sheetFormatPr baseColWidth="10" defaultColWidth="11.44140625" defaultRowHeight="14.4" x14ac:dyDescent="0.3"/>
  <cols>
    <col min="1" max="2" width="1.6640625" style="23" customWidth="1"/>
    <col min="3" max="3" width="77.88671875" style="23" customWidth="1"/>
    <col min="4" max="6" width="15.6640625" style="23" customWidth="1"/>
    <col min="7" max="7" width="1.6640625" style="23" customWidth="1"/>
    <col min="8" max="16384" width="11.44140625" style="23"/>
  </cols>
  <sheetData>
    <row r="1" spans="2:11" s="126" customFormat="1" ht="18" x14ac:dyDescent="0.3">
      <c r="B1" s="145" t="s">
        <v>23</v>
      </c>
      <c r="C1" s="145"/>
      <c r="D1" s="145"/>
      <c r="E1" s="145"/>
      <c r="F1" s="145"/>
    </row>
    <row r="2" spans="2:11" ht="15.6" x14ac:dyDescent="0.3">
      <c r="B2" s="146" t="s">
        <v>40</v>
      </c>
      <c r="C2" s="146"/>
      <c r="D2" s="146"/>
      <c r="E2" s="146"/>
      <c r="F2" s="146"/>
    </row>
    <row r="3" spans="2:11" ht="8.25" customHeight="1" x14ac:dyDescent="0.3">
      <c r="B3" s="6"/>
      <c r="C3" s="6"/>
      <c r="D3" s="6"/>
      <c r="E3" s="6"/>
      <c r="F3" s="6"/>
    </row>
    <row r="4" spans="2:11" ht="15.6" x14ac:dyDescent="0.3">
      <c r="B4" s="147" t="s">
        <v>274</v>
      </c>
      <c r="C4" s="147"/>
      <c r="D4" s="147"/>
      <c r="E4" s="147"/>
      <c r="F4" s="147"/>
    </row>
    <row r="5" spans="2:11" ht="15.6" x14ac:dyDescent="0.3">
      <c r="B5" s="6"/>
      <c r="C5" s="6"/>
      <c r="D5" s="6"/>
      <c r="E5" s="6"/>
      <c r="F5" s="6"/>
    </row>
    <row r="6" spans="2:11" ht="15.6" x14ac:dyDescent="0.3">
      <c r="B6" s="6" t="s">
        <v>41</v>
      </c>
      <c r="C6" s="6"/>
      <c r="D6" s="149" t="str">
        <f>ref_var!$F$28</f>
        <v>Veuillez consulter l'onglet Instructions.</v>
      </c>
      <c r="E6" s="149"/>
      <c r="F6" s="149"/>
      <c r="G6" s="78"/>
      <c r="H6" s="78"/>
      <c r="I6" s="78"/>
      <c r="J6" s="78"/>
      <c r="K6" s="78"/>
    </row>
    <row r="7" spans="2:11" x14ac:dyDescent="0.3">
      <c r="G7" s="79"/>
      <c r="H7" s="79"/>
      <c r="I7" s="79"/>
      <c r="J7" s="79"/>
      <c r="K7" s="79"/>
    </row>
    <row r="8" spans="2:11" ht="30" customHeight="1" x14ac:dyDescent="0.3">
      <c r="B8" s="7"/>
      <c r="C8" s="7"/>
      <c r="D8" s="172">
        <v>2021</v>
      </c>
      <c r="E8" s="173"/>
      <c r="F8" s="174"/>
      <c r="G8" s="90"/>
    </row>
    <row r="9" spans="2:11" x14ac:dyDescent="0.3">
      <c r="B9" s="159" t="s">
        <v>218</v>
      </c>
      <c r="C9" s="160"/>
      <c r="D9" s="175"/>
      <c r="E9" s="176"/>
      <c r="F9" s="177"/>
      <c r="G9" s="90"/>
    </row>
    <row r="10" spans="2:11" x14ac:dyDescent="0.3">
      <c r="B10" s="161" t="s">
        <v>243</v>
      </c>
      <c r="C10" s="162"/>
      <c r="D10" s="19" t="s">
        <v>0</v>
      </c>
      <c r="E10" s="19" t="s">
        <v>237</v>
      </c>
      <c r="F10" s="92" t="s">
        <v>214</v>
      </c>
      <c r="G10" s="90"/>
    </row>
    <row r="11" spans="2:11" x14ac:dyDescent="0.3">
      <c r="B11" s="156" t="s">
        <v>246</v>
      </c>
      <c r="C11" s="157"/>
      <c r="D11" s="157"/>
      <c r="E11" s="157"/>
      <c r="F11" s="157"/>
      <c r="G11" s="90"/>
    </row>
    <row r="12" spans="2:11" x14ac:dyDescent="0.3">
      <c r="B12" s="8"/>
      <c r="C12" s="96" t="s">
        <v>238</v>
      </c>
      <c r="D12" s="89"/>
      <c r="E12" s="89"/>
      <c r="F12" s="93"/>
      <c r="G12" s="90"/>
    </row>
    <row r="13" spans="2:11" ht="28.8" x14ac:dyDescent="0.3">
      <c r="B13" s="87"/>
      <c r="C13" s="97" t="s">
        <v>242</v>
      </c>
      <c r="D13" s="91"/>
      <c r="E13" s="91"/>
      <c r="F13" s="94"/>
      <c r="G13" s="90"/>
    </row>
    <row r="14" spans="2:11" x14ac:dyDescent="0.3">
      <c r="B14" s="87"/>
      <c r="C14" s="97" t="s">
        <v>231</v>
      </c>
      <c r="D14" s="91"/>
      <c r="E14" s="91"/>
      <c r="F14" s="94"/>
      <c r="G14" s="90"/>
    </row>
    <row r="15" spans="2:11" ht="26.4" x14ac:dyDescent="0.3">
      <c r="B15" s="87"/>
      <c r="C15" s="97" t="s">
        <v>239</v>
      </c>
      <c r="D15" s="91"/>
      <c r="E15" s="91"/>
      <c r="F15" s="94"/>
      <c r="G15" s="90"/>
    </row>
    <row r="16" spans="2:11" ht="28.8" x14ac:dyDescent="0.3">
      <c r="B16" s="87"/>
      <c r="C16" s="97" t="s">
        <v>240</v>
      </c>
      <c r="D16" s="91"/>
      <c r="E16" s="91"/>
      <c r="F16" s="94"/>
      <c r="G16" s="90"/>
    </row>
    <row r="17" spans="2:7" ht="28.8" x14ac:dyDescent="0.3">
      <c r="B17" s="87"/>
      <c r="C17" s="97" t="s">
        <v>322</v>
      </c>
      <c r="D17" s="91"/>
      <c r="E17" s="91"/>
      <c r="F17" s="94"/>
      <c r="G17" s="90"/>
    </row>
    <row r="18" spans="2:7" ht="28.8" x14ac:dyDescent="0.3">
      <c r="B18" s="87"/>
      <c r="C18" s="97" t="s">
        <v>241</v>
      </c>
      <c r="D18" s="91"/>
      <c r="E18" s="91"/>
      <c r="F18" s="94"/>
      <c r="G18" s="90"/>
    </row>
    <row r="19" spans="2:7" x14ac:dyDescent="0.3">
      <c r="B19" s="87"/>
      <c r="C19" s="97" t="s">
        <v>232</v>
      </c>
      <c r="D19" s="91"/>
      <c r="E19" s="91"/>
      <c r="F19" s="94"/>
      <c r="G19" s="90"/>
    </row>
    <row r="20" spans="2:7" x14ac:dyDescent="0.3">
      <c r="B20" s="87"/>
      <c r="C20" s="97" t="s">
        <v>234</v>
      </c>
      <c r="D20" s="91"/>
      <c r="E20" s="91"/>
      <c r="F20" s="94"/>
      <c r="G20" s="90"/>
    </row>
    <row r="21" spans="2:7" x14ac:dyDescent="0.3">
      <c r="B21" s="87"/>
      <c r="C21" s="97" t="s">
        <v>233</v>
      </c>
      <c r="D21" s="91"/>
      <c r="E21" s="91"/>
      <c r="F21" s="94"/>
      <c r="G21" s="90"/>
    </row>
    <row r="22" spans="2:7" x14ac:dyDescent="0.3">
      <c r="B22" s="87"/>
      <c r="C22" s="97" t="s">
        <v>244</v>
      </c>
      <c r="D22" s="91"/>
      <c r="E22" s="91"/>
      <c r="F22" s="94"/>
      <c r="G22" s="90"/>
    </row>
    <row r="23" spans="2:7" x14ac:dyDescent="0.3">
      <c r="B23" s="87"/>
      <c r="C23" s="97" t="s">
        <v>245</v>
      </c>
      <c r="D23" s="91"/>
      <c r="E23" s="91"/>
      <c r="F23" s="94"/>
      <c r="G23" s="90"/>
    </row>
    <row r="24" spans="2:7" x14ac:dyDescent="0.3">
      <c r="B24" s="87"/>
      <c r="C24" s="95" t="s">
        <v>235</v>
      </c>
      <c r="D24" s="101">
        <f>SUM(D12:D23)</f>
        <v>0</v>
      </c>
      <c r="E24" s="101">
        <f>SUM(E12:E23)</f>
        <v>0</v>
      </c>
      <c r="F24" s="101">
        <f>SUM(F12:F23)</f>
        <v>0</v>
      </c>
      <c r="G24" s="90"/>
    </row>
    <row r="25" spans="2:7" x14ac:dyDescent="0.3">
      <c r="B25" s="98" t="s">
        <v>247</v>
      </c>
      <c r="C25" s="99"/>
      <c r="D25" s="102"/>
      <c r="E25" s="102"/>
      <c r="F25" s="102"/>
      <c r="G25" s="90"/>
    </row>
    <row r="26" spans="2:7" x14ac:dyDescent="0.3">
      <c r="B26" s="98" t="s">
        <v>236</v>
      </c>
      <c r="C26" s="99"/>
      <c r="D26" s="100">
        <f>D24+D25</f>
        <v>0</v>
      </c>
      <c r="E26" s="100">
        <f t="shared" ref="E26:F26" si="0">E24+E25</f>
        <v>0</v>
      </c>
      <c r="F26" s="100">
        <f t="shared" si="0"/>
        <v>0</v>
      </c>
      <c r="G26" s="90"/>
    </row>
  </sheetData>
  <sheetProtection algorithmName="SHA-512" hashValue="VWOV+dhPCRrySey0vvq6sgnY/BMW/pBSWaYrZe/ChdzSHhSSAcSwEiRhsfX3hq9wl5MawMPUCxn/OQR9Z02C8Q==" saltValue="l5oq7/4aQcZHRM9m0ndGWw==" spinCount="100000" sheet="1" objects="1" scenarios="1" selectLockedCells="1"/>
  <mergeCells count="8">
    <mergeCell ref="B10:C10"/>
    <mergeCell ref="B11:F11"/>
    <mergeCell ref="B9:C9"/>
    <mergeCell ref="B1:F1"/>
    <mergeCell ref="B2:F2"/>
    <mergeCell ref="B4:F4"/>
    <mergeCell ref="D6:F6"/>
    <mergeCell ref="D8:F9"/>
  </mergeCells>
  <conditionalFormatting sqref="D6 G6:K6">
    <cfRule type="cellIs" dxfId="4" priority="1" operator="equal">
      <formula>"Veuillez consulter l'onglet Instructions."</formula>
    </cfRule>
  </conditionalFormatting>
  <printOptions horizontalCentered="1"/>
  <pageMargins left="0.19685039370078741" right="0.19685039370078741" top="0.31496062992125984" bottom="0.31496062992125984" header="0.31496062992125984" footer="0.23622047244094491"/>
  <pageSetup scale="91" orientation="portrait" blackAndWhite="1" r:id="rId1"/>
  <headerFooter>
    <oddHeader>&amp;L&amp;G</oddHeader>
    <oddFooter>&amp;LMinistère des Transports, de la Mobilité durable et de l'Électrification des transports (2018-05)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1E58B-B30A-4A91-84AB-1AB1755C0C31}">
  <sheetPr>
    <tabColor theme="2" tint="-0.249977111117893"/>
    <pageSetUpPr fitToPage="1"/>
  </sheetPr>
  <dimension ref="B1:I43"/>
  <sheetViews>
    <sheetView showGridLines="0" zoomScale="90" zoomScaleNormal="90" workbookViewId="0">
      <selection activeCell="F36" sqref="F36"/>
    </sheetView>
  </sheetViews>
  <sheetFormatPr baseColWidth="10" defaultColWidth="11.44140625" defaultRowHeight="14.4" x14ac:dyDescent="0.3"/>
  <cols>
    <col min="1" max="2" width="1.6640625" style="45" customWidth="1"/>
    <col min="3" max="3" width="39.5546875" style="45" customWidth="1"/>
    <col min="4" max="5" width="20.33203125" style="45" hidden="1" customWidth="1"/>
    <col min="6" max="9" width="20.33203125" style="45" customWidth="1"/>
    <col min="10" max="10" width="1.6640625" style="45" customWidth="1"/>
    <col min="11" max="16384" width="11.44140625" style="45"/>
  </cols>
  <sheetData>
    <row r="1" spans="2:9" s="127" customFormat="1" ht="18" x14ac:dyDescent="0.3">
      <c r="B1" s="178" t="s">
        <v>23</v>
      </c>
      <c r="C1" s="178"/>
      <c r="D1" s="178"/>
      <c r="E1" s="178"/>
      <c r="F1" s="178"/>
      <c r="G1" s="178"/>
      <c r="H1" s="178"/>
      <c r="I1" s="178"/>
    </row>
    <row r="2" spans="2:9" ht="15.6" x14ac:dyDescent="0.3">
      <c r="B2" s="179" t="s">
        <v>40</v>
      </c>
      <c r="C2" s="179"/>
      <c r="D2" s="179"/>
      <c r="E2" s="179"/>
      <c r="F2" s="179"/>
      <c r="G2" s="179"/>
      <c r="H2" s="179"/>
      <c r="I2" s="179"/>
    </row>
    <row r="3" spans="2:9" ht="8.25" customHeight="1" x14ac:dyDescent="0.3">
      <c r="B3" s="180"/>
      <c r="C3" s="180"/>
      <c r="D3" s="180"/>
      <c r="E3" s="180"/>
      <c r="F3" s="180"/>
      <c r="G3" s="180"/>
      <c r="H3" s="180"/>
      <c r="I3" s="180"/>
    </row>
    <row r="4" spans="2:9" ht="15.6" x14ac:dyDescent="0.3">
      <c r="B4" s="181" t="s">
        <v>274</v>
      </c>
      <c r="C4" s="181"/>
      <c r="D4" s="181"/>
      <c r="E4" s="181"/>
      <c r="F4" s="181"/>
      <c r="G4" s="181"/>
      <c r="H4" s="181"/>
      <c r="I4" s="181"/>
    </row>
    <row r="6" spans="2:9" ht="15.6" x14ac:dyDescent="0.3">
      <c r="B6" s="45" t="s">
        <v>257</v>
      </c>
      <c r="D6" s="149" t="str">
        <f>ref_var!$F$28</f>
        <v>Veuillez consulter l'onglet Instructions.</v>
      </c>
      <c r="E6" s="149"/>
      <c r="F6" s="149"/>
      <c r="G6" s="149"/>
      <c r="H6" s="149"/>
      <c r="I6" s="149"/>
    </row>
    <row r="8" spans="2:9" x14ac:dyDescent="0.3">
      <c r="B8" s="45" t="s">
        <v>256</v>
      </c>
    </row>
    <row r="10" spans="2:9" x14ac:dyDescent="0.3">
      <c r="B10" s="107" t="s">
        <v>258</v>
      </c>
      <c r="C10" s="108"/>
      <c r="D10" s="138" t="s">
        <v>259</v>
      </c>
      <c r="E10" s="139"/>
      <c r="F10" s="139"/>
      <c r="G10" s="139"/>
      <c r="H10" s="139"/>
      <c r="I10" s="140"/>
    </row>
    <row r="11" spans="2:9" ht="15" customHeight="1" x14ac:dyDescent="0.3">
      <c r="B11" s="109"/>
      <c r="C11" s="110" t="s">
        <v>260</v>
      </c>
      <c r="D11" s="191"/>
      <c r="E11" s="192"/>
      <c r="F11" s="192"/>
      <c r="G11" s="192"/>
      <c r="H11" s="192"/>
      <c r="I11" s="193"/>
    </row>
    <row r="12" spans="2:9" x14ac:dyDescent="0.3">
      <c r="B12" s="111"/>
      <c r="C12" s="112" t="s">
        <v>261</v>
      </c>
      <c r="D12" s="188"/>
      <c r="E12" s="189"/>
      <c r="F12" s="189"/>
      <c r="G12" s="189"/>
      <c r="H12" s="189"/>
      <c r="I12" s="190"/>
    </row>
    <row r="13" spans="2:9" ht="15" customHeight="1" x14ac:dyDescent="0.3">
      <c r="B13" s="111"/>
      <c r="C13" s="112" t="s">
        <v>262</v>
      </c>
      <c r="D13" s="182"/>
      <c r="E13" s="183"/>
      <c r="F13" s="183"/>
      <c r="G13" s="183"/>
      <c r="H13" s="183"/>
      <c r="I13" s="184"/>
    </row>
    <row r="14" spans="2:9" ht="15" customHeight="1" x14ac:dyDescent="0.3">
      <c r="B14" s="111"/>
      <c r="C14" s="112" t="s">
        <v>263</v>
      </c>
      <c r="D14" s="182"/>
      <c r="E14" s="183"/>
      <c r="F14" s="183"/>
      <c r="G14" s="183"/>
      <c r="H14" s="183"/>
      <c r="I14" s="184"/>
    </row>
    <row r="15" spans="2:9" ht="15" customHeight="1" x14ac:dyDescent="0.3">
      <c r="B15" s="111"/>
      <c r="C15" s="112" t="s">
        <v>264</v>
      </c>
      <c r="D15" s="182"/>
      <c r="E15" s="183"/>
      <c r="F15" s="183"/>
      <c r="G15" s="183"/>
      <c r="H15" s="183"/>
      <c r="I15" s="184"/>
    </row>
    <row r="16" spans="2:9" ht="15" customHeight="1" x14ac:dyDescent="0.3">
      <c r="B16" s="111"/>
      <c r="C16" s="112" t="s">
        <v>265</v>
      </c>
      <c r="D16" s="182"/>
      <c r="E16" s="183"/>
      <c r="F16" s="183"/>
      <c r="G16" s="183"/>
      <c r="H16" s="183"/>
      <c r="I16" s="184"/>
    </row>
    <row r="17" spans="2:9" ht="15" customHeight="1" x14ac:dyDescent="0.3">
      <c r="B17" s="111"/>
      <c r="C17" s="112" t="s">
        <v>266</v>
      </c>
      <c r="D17" s="182"/>
      <c r="E17" s="183"/>
      <c r="F17" s="183"/>
      <c r="G17" s="183"/>
      <c r="H17" s="183"/>
      <c r="I17" s="184"/>
    </row>
    <row r="18" spans="2:9" ht="15" customHeight="1" x14ac:dyDescent="0.3">
      <c r="B18" s="111"/>
      <c r="C18" s="112" t="s">
        <v>267</v>
      </c>
      <c r="D18" s="182"/>
      <c r="E18" s="183"/>
      <c r="F18" s="183"/>
      <c r="G18" s="183"/>
      <c r="H18" s="183"/>
      <c r="I18" s="184"/>
    </row>
    <row r="19" spans="2:9" ht="15" customHeight="1" x14ac:dyDescent="0.3">
      <c r="B19" s="113"/>
      <c r="C19" s="114" t="s">
        <v>268</v>
      </c>
      <c r="D19" s="185"/>
      <c r="E19" s="186"/>
      <c r="F19" s="186"/>
      <c r="G19" s="186"/>
      <c r="H19" s="186"/>
      <c r="I19" s="187"/>
    </row>
    <row r="21" spans="2:9" x14ac:dyDescent="0.3">
      <c r="B21" s="107" t="s">
        <v>269</v>
      </c>
      <c r="C21" s="108"/>
      <c r="D21" s="138" t="s">
        <v>270</v>
      </c>
      <c r="E21" s="139"/>
      <c r="F21" s="139"/>
      <c r="G21" s="139"/>
      <c r="H21" s="139"/>
      <c r="I21" s="140"/>
    </row>
    <row r="22" spans="2:9" ht="15" customHeight="1" x14ac:dyDescent="0.3">
      <c r="B22" s="109"/>
      <c r="C22" s="110" t="s">
        <v>260</v>
      </c>
      <c r="D22" s="191"/>
      <c r="E22" s="192"/>
      <c r="F22" s="192"/>
      <c r="G22" s="192"/>
      <c r="H22" s="192"/>
      <c r="I22" s="193"/>
    </row>
    <row r="23" spans="2:9" ht="15" customHeight="1" x14ac:dyDescent="0.3">
      <c r="B23" s="111"/>
      <c r="C23" s="112" t="s">
        <v>261</v>
      </c>
      <c r="D23" s="188"/>
      <c r="E23" s="189"/>
      <c r="F23" s="189"/>
      <c r="G23" s="189"/>
      <c r="H23" s="189"/>
      <c r="I23" s="190"/>
    </row>
    <row r="24" spans="2:9" ht="15" customHeight="1" x14ac:dyDescent="0.3">
      <c r="B24" s="111"/>
      <c r="C24" s="112" t="s">
        <v>262</v>
      </c>
      <c r="D24" s="182"/>
      <c r="E24" s="183"/>
      <c r="F24" s="183"/>
      <c r="G24" s="183"/>
      <c r="H24" s="183"/>
      <c r="I24" s="184"/>
    </row>
    <row r="25" spans="2:9" ht="15" customHeight="1" x14ac:dyDescent="0.3">
      <c r="B25" s="111"/>
      <c r="C25" s="112" t="s">
        <v>263</v>
      </c>
      <c r="D25" s="182"/>
      <c r="E25" s="183"/>
      <c r="F25" s="183"/>
      <c r="G25" s="183"/>
      <c r="H25" s="183"/>
      <c r="I25" s="184"/>
    </row>
    <row r="26" spans="2:9" ht="15" customHeight="1" x14ac:dyDescent="0.3">
      <c r="B26" s="111"/>
      <c r="C26" s="112" t="s">
        <v>264</v>
      </c>
      <c r="D26" s="182"/>
      <c r="E26" s="183"/>
      <c r="F26" s="183"/>
      <c r="G26" s="183"/>
      <c r="H26" s="183"/>
      <c r="I26" s="184"/>
    </row>
    <row r="27" spans="2:9" ht="15" customHeight="1" x14ac:dyDescent="0.3">
      <c r="B27" s="111"/>
      <c r="C27" s="112" t="s">
        <v>265</v>
      </c>
      <c r="D27" s="182"/>
      <c r="E27" s="183"/>
      <c r="F27" s="183"/>
      <c r="G27" s="183"/>
      <c r="H27" s="183"/>
      <c r="I27" s="184"/>
    </row>
    <row r="28" spans="2:9" ht="15" customHeight="1" x14ac:dyDescent="0.3">
      <c r="B28" s="111"/>
      <c r="C28" s="112" t="s">
        <v>266</v>
      </c>
      <c r="D28" s="182"/>
      <c r="E28" s="183"/>
      <c r="F28" s="183"/>
      <c r="G28" s="183"/>
      <c r="H28" s="183"/>
      <c r="I28" s="184"/>
    </row>
    <row r="29" spans="2:9" ht="15" customHeight="1" x14ac:dyDescent="0.3">
      <c r="B29" s="111"/>
      <c r="C29" s="112" t="s">
        <v>267</v>
      </c>
      <c r="D29" s="182"/>
      <c r="E29" s="183"/>
      <c r="F29" s="183"/>
      <c r="G29" s="183"/>
      <c r="H29" s="183"/>
      <c r="I29" s="184"/>
    </row>
    <row r="30" spans="2:9" ht="15" customHeight="1" x14ac:dyDescent="0.3">
      <c r="B30" s="113"/>
      <c r="C30" s="114" t="s">
        <v>268</v>
      </c>
      <c r="D30" s="185"/>
      <c r="E30" s="186"/>
      <c r="F30" s="186"/>
      <c r="G30" s="186"/>
      <c r="H30" s="186"/>
      <c r="I30" s="187"/>
    </row>
    <row r="32" spans="2:9" x14ac:dyDescent="0.3">
      <c r="B32" s="45" t="s">
        <v>323</v>
      </c>
    </row>
    <row r="34" spans="2:8" x14ac:dyDescent="0.3">
      <c r="D34" s="115">
        <f>ref_ges!A4</f>
        <v>2021</v>
      </c>
      <c r="E34" s="125">
        <f>ref_ges!A5</f>
        <v>2022</v>
      </c>
      <c r="F34" s="116">
        <f>ref_ges!A6</f>
        <v>2023</v>
      </c>
      <c r="G34" s="117">
        <f>ref_ges!A7</f>
        <v>2024</v>
      </c>
    </row>
    <row r="35" spans="2:8" x14ac:dyDescent="0.3">
      <c r="B35" s="194" t="s">
        <v>324</v>
      </c>
      <c r="C35" s="195"/>
      <c r="D35" s="195"/>
      <c r="E35" s="195"/>
      <c r="F35" s="195"/>
      <c r="G35" s="196"/>
      <c r="H35" s="141"/>
    </row>
    <row r="36" spans="2:8" x14ac:dyDescent="0.3">
      <c r="B36" s="111"/>
      <c r="C36" s="112" t="s">
        <v>271</v>
      </c>
      <c r="D36" s="118"/>
      <c r="E36" s="119"/>
      <c r="F36" s="119"/>
      <c r="G36" s="119"/>
    </row>
    <row r="37" spans="2:8" x14ac:dyDescent="0.3">
      <c r="B37" s="113"/>
      <c r="C37" s="114" t="s">
        <v>272</v>
      </c>
      <c r="D37" s="120"/>
      <c r="E37" s="120"/>
      <c r="F37" s="120">
        <f>F36</f>
        <v>0</v>
      </c>
      <c r="G37" s="120">
        <f>G36</f>
        <v>0</v>
      </c>
    </row>
    <row r="38" spans="2:8" x14ac:dyDescent="0.3">
      <c r="B38" s="121"/>
      <c r="C38" s="121"/>
      <c r="D38" s="122"/>
      <c r="E38" s="122"/>
      <c r="F38" s="122"/>
      <c r="G38" s="122"/>
    </row>
    <row r="39" spans="2:8" x14ac:dyDescent="0.3">
      <c r="B39" s="194" t="s">
        <v>325</v>
      </c>
      <c r="C39" s="195"/>
      <c r="D39" s="195"/>
      <c r="E39" s="195"/>
      <c r="F39" s="195"/>
      <c r="G39" s="196"/>
      <c r="H39" s="141"/>
    </row>
    <row r="40" spans="2:8" x14ac:dyDescent="0.3">
      <c r="B40" s="111"/>
      <c r="C40" s="112" t="s">
        <v>271</v>
      </c>
      <c r="D40" s="118"/>
      <c r="E40" s="119"/>
      <c r="F40" s="119"/>
      <c r="G40" s="119"/>
    </row>
    <row r="41" spans="2:8" x14ac:dyDescent="0.3">
      <c r="B41" s="113"/>
      <c r="C41" s="114" t="s">
        <v>272</v>
      </c>
      <c r="D41" s="120"/>
      <c r="E41" s="120"/>
      <c r="F41" s="120">
        <f>F40</f>
        <v>0</v>
      </c>
      <c r="G41" s="120">
        <f>G40</f>
        <v>0</v>
      </c>
    </row>
    <row r="43" spans="2:8" x14ac:dyDescent="0.3">
      <c r="B43" s="123" t="s">
        <v>273</v>
      </c>
      <c r="C43" s="124"/>
      <c r="D43" s="197"/>
      <c r="E43" s="198"/>
      <c r="F43" s="198"/>
      <c r="G43" s="199"/>
      <c r="H43" s="141"/>
    </row>
  </sheetData>
  <sheetProtection algorithmName="SHA-512" hashValue="dzHXSgXEDV7kMgegmlrOMUSib448NQsJ3t6/7lnq/LuSbWF5m9IChRL0/0KuRjKzP1eOZKk8uwzIWg+epDa0Ug==" saltValue="N1/HM/vkSNgvIyhf+Qfhvg==" spinCount="100000" sheet="1" objects="1" scenarios="1" selectLockedCells="1"/>
  <mergeCells count="26">
    <mergeCell ref="D27:I27"/>
    <mergeCell ref="D22:I22"/>
    <mergeCell ref="B35:G35"/>
    <mergeCell ref="B39:G39"/>
    <mergeCell ref="D43:G43"/>
    <mergeCell ref="D28:I28"/>
    <mergeCell ref="D29:I29"/>
    <mergeCell ref="D30:I30"/>
    <mergeCell ref="D24:I24"/>
    <mergeCell ref="D25:I25"/>
    <mergeCell ref="D26:I26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3:I23"/>
    <mergeCell ref="D6:I6"/>
    <mergeCell ref="B1:I1"/>
    <mergeCell ref="B2:I2"/>
    <mergeCell ref="B3:I3"/>
    <mergeCell ref="B4:I4"/>
  </mergeCells>
  <conditionalFormatting sqref="D6">
    <cfRule type="cellIs" dxfId="3" priority="1" operator="equal">
      <formula>"Veuillez consulter l'onglet Instructions."</formula>
    </cfRule>
  </conditionalFormatting>
  <printOptions horizontalCentered="1"/>
  <pageMargins left="0.19685039370078741" right="0.19685039370078741" top="0.47244094488188981" bottom="0.47244094488188981" header="0.19685039370078741" footer="0.19685039370078741"/>
  <pageSetup paperSize="5" scale="84" orientation="portrait" blackAndWhite="1" r:id="rId1"/>
  <headerFooter>
    <oddHeader>&amp;L&amp;G</oddHeader>
    <oddFooter>&amp;LMinistère des Transports, de la Mobilité durable et de l'Électrification des transports (2018-05)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 - Documentation et publications" ma:contentTypeID="0x0101004CF7858666DCF549A225B94A6B816A81003E72089EE794D24FA826B04185D3067C" ma:contentTypeVersion="13" ma:contentTypeDescription="" ma:contentTypeScope="" ma:versionID="ae6aae415eacce9d0e1aaaec539e75f6">
  <xsd:schema xmlns:xsd="http://www.w3.org/2001/XMLSchema" xmlns:xs="http://www.w3.org/2001/XMLSchema" xmlns:p="http://schemas.microsoft.com/office/2006/metadata/properties" xmlns:ns1="http://schemas.microsoft.com/sharepoint/v3" xmlns:ns2="35ae7812-1ab0-4572-a6c7-91e90b93790a" targetNamespace="http://schemas.microsoft.com/office/2006/metadata/properties" ma:root="true" ma:fieldsID="665b8c700344fd405fb82dba20361842" ns1:_="" ns2:_="">
    <xsd:import namespace="http://schemas.microsoft.com/sharepoint/v3"/>
    <xsd:import namespace="35ae7812-1ab0-4572-a6c7-91e90b93790a"/>
    <xsd:element name="properties">
      <xsd:complexType>
        <xsd:sequence>
          <xsd:element name="documentManagement">
            <xsd:complexType>
              <xsd:all>
                <xsd:element ref="ns2:DescriptionDocument" minOccurs="0"/>
                <xsd:element ref="ns1:RoutingRuleDescription" minOccurs="0"/>
                <xsd:element ref="ns2:LiensConnexes" minOccurs="0"/>
                <xsd:element ref="ns2:Theme" minOccurs="0"/>
                <xsd:element ref="ns2:SousTheme" minOccurs="0"/>
                <xsd:element ref="ns2:SousSousTheme" minOccurs="0"/>
                <xsd:element ref="ns2:TypeDocument"/>
                <xsd:element ref="ns2:ImageDocument" minOccurs="0"/>
                <xsd:element ref="ns2:ExclureImportation" minOccurs="0"/>
                <xsd:element ref="ns2:_dlc_DocId" minOccurs="0"/>
                <xsd:element ref="ns2:_dlc_DocIdUrl" minOccurs="0"/>
                <xsd:element ref="ns2:_dlc_DocIdPersistId" minOccurs="0"/>
                <xsd:element ref="ns2:DatePubl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3" nillable="true" ma:displayName="Description" ma:hidden="true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7812-1ab0-4572-a6c7-91e90b93790a" elementFormDefault="qualified">
    <xsd:import namespace="http://schemas.microsoft.com/office/2006/documentManagement/types"/>
    <xsd:import namespace="http://schemas.microsoft.com/office/infopath/2007/PartnerControls"/>
    <xsd:element name="DescriptionDocument" ma:index="2" nillable="true" ma:displayName="Description du document" ma:internalName="DescriptionDocument">
      <xsd:simpleType>
        <xsd:restriction base="dms:Note"/>
      </xsd:simpleType>
    </xsd:element>
    <xsd:element name="LiensConnexes" ma:index="4" nillable="true" ma:displayName="Liens connexes" ma:internalName="LiensConnexes">
      <xsd:simpleType>
        <xsd:restriction base="dms:Unknown"/>
      </xsd:simpleType>
    </xsd:element>
    <xsd:element name="Theme" ma:index="5" nillable="true" ma:displayName="Thème" ma:list="{bdebda74-ca37-41fd-90df-8d955ef10679}" ma:internalName="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Theme" ma:index="6" nillable="true" ma:displayName="Sous-thème" ma:list="{3130be0d-b66e-408f-a776-12ba0f39c938}" ma:internalName="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SousTheme" ma:index="7" nillable="true" ma:displayName="Sous sous-thème" ma:list="{30ea00ab-c7b9-4add-aca4-0637f10fb6b8}" ma:internalName="Sous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ypeDocument" ma:index="8" ma:displayName="Type de document" ma:list="{1e040e3a-8d76-437d-8fa6-548da1ec216d}" ma:internalName="TypeDocument" ma:showField="Title" ma:web="35ae7812-1ab0-4572-a6c7-91e90b93790a">
      <xsd:simpleType>
        <xsd:restriction base="dms:Lookup"/>
      </xsd:simpleType>
    </xsd:element>
    <xsd:element name="ImageDocument" ma:index="9" nillable="true" ma:displayName="Image du document" ma:format="Image" ma:internalName="ImageDocu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xclureImportation" ma:index="11" nillable="true" ma:displayName="Exclure de l'importation" ma:default="0" ma:internalName="ExclureImportation">
      <xsd:simpleType>
        <xsd:restriction base="dms:Boolean"/>
      </xsd:simpleType>
    </xsd:element>
    <xsd:element name="_dlc_DocId" ma:index="16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17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tePublication" ma:index="21" ma:displayName="Date de publication" ma:default="[today]" ma:format="DateOnly" ma:internalName="DatePublicatio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 ma:index="10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Document xmlns="35ae7812-1ab0-4572-a6c7-91e90b93790a">Plans triennaux d’amélioration et d’optimisation des services – Reddition de comptes</DescriptionDocument>
    <DatePublication xmlns="35ae7812-1ab0-4572-a6c7-91e90b93790a">2024-03-08T05:00:00+00:00</DatePublication>
    <ExclureImportation xmlns="35ae7812-1ab0-4572-a6c7-91e90b93790a">false</ExclureImportation>
    <Theme xmlns="35ae7812-1ab0-4572-a6c7-91e90b93790a">
      <Value>8</Value>
    </Theme>
    <SousSousTheme xmlns="35ae7812-1ab0-4572-a6c7-91e90b93790a"/>
    <RoutingRuleDescription xmlns="http://schemas.microsoft.com/sharepoint/v3" xsi:nil="true"/>
    <TypeDocument xmlns="35ae7812-1ab0-4572-a6c7-91e90b93790a">14</TypeDocument>
    <SousTheme xmlns="35ae7812-1ab0-4572-a6c7-91e90b93790a">
      <Value>99</Value>
    </SousTheme>
    <ImageDocument xmlns="35ae7812-1ab0-4572-a6c7-91e90b93790a">
      <Url xsi:nil="true"/>
      <Description xsi:nil="true"/>
    </ImageDocument>
    <LiensConnexes xmlns="35ae7812-1ab0-4572-a6c7-91e90b93790a">&lt;div title="_schemaversion" id="_3"&gt;
  &lt;div title="_view"&gt;
    &lt;span title="_columns"&gt;1&lt;/span&gt;
    &lt;span title="_linkstyle"&gt;&lt;/span&gt;
    &lt;span title="_groupstyle"&gt;&lt;/span&gt;
  &lt;/div&gt;
&lt;/div&gt;</LiensConnexes>
    <_dlc_DocId xmlns="35ae7812-1ab0-4572-a6c7-91e90b93790a">UMXZNRYXENRP-1045-17</_dlc_DocId>
    <_dlc_DocIdUrl xmlns="35ae7812-1ab0-4572-a6c7-91e90b93790a">
      <Url>http://edition.simtq.mtq.min.intra/fr/aide-finan/transport-collectif/programme-transport-collectif/_layouts/15/DocIdRedir.aspx?ID=UMXZNRYXENRP-1045-17</Url>
      <Description>UMXZNRYXENRP-1045-17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AD263AA-B57C-46E9-841C-7E2642FBB302}"/>
</file>

<file path=customXml/itemProps2.xml><?xml version="1.0" encoding="utf-8"?>
<ds:datastoreItem xmlns:ds="http://schemas.openxmlformats.org/officeDocument/2006/customXml" ds:itemID="{460546AB-93E3-40BB-9B18-D690B1521AE9}"/>
</file>

<file path=customXml/itemProps3.xml><?xml version="1.0" encoding="utf-8"?>
<ds:datastoreItem xmlns:ds="http://schemas.openxmlformats.org/officeDocument/2006/customXml" ds:itemID="{150ED0BB-6AD3-4C5C-A4A8-F201DC4C062A}"/>
</file>

<file path=customXml/itemProps4.xml><?xml version="1.0" encoding="utf-8"?>
<ds:datastoreItem xmlns:ds="http://schemas.openxmlformats.org/officeDocument/2006/customXml" ds:itemID="{A1245986-D9D0-45CB-A4E7-3E51881E84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Instructions</vt:lpstr>
      <vt:lpstr>PTAS non-électrique - Régie</vt:lpstr>
      <vt:lpstr>PTAS électrique - Régie</vt:lpstr>
      <vt:lpstr>PTAS non-électrique - Contrat</vt:lpstr>
      <vt:lpstr>PTAS électrique - Contrat</vt:lpstr>
      <vt:lpstr>PTAS - Métro</vt:lpstr>
      <vt:lpstr>PTAS - Train</vt:lpstr>
      <vt:lpstr>PTAS - Dépenses</vt:lpstr>
      <vt:lpstr>PTOS</vt:lpstr>
      <vt:lpstr>Résultats</vt:lpstr>
      <vt:lpstr>ref_var</vt:lpstr>
      <vt:lpstr>ref_data</vt:lpstr>
      <vt:lpstr>ref_ges</vt:lpstr>
      <vt:lpstr>'PTAS - Train'!Impression_des_titres</vt:lpstr>
    </vt:vector>
  </TitlesOfParts>
  <Company>Ministère des Transports, de la Mobilité durable et de l'Électrification des transports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Formulaire PADTC Volet 1, annexe 1</dc:title>
  <dc:creator>Vignola, Vincent</dc:creator>
  <cp:lastModifiedBy>Boucher, Nathalie</cp:lastModifiedBy>
  <cp:lastPrinted>2022-08-17T14:34:57Z</cp:lastPrinted>
  <dcterms:created xsi:type="dcterms:W3CDTF">2018-04-17T16:01:42Z</dcterms:created>
  <dcterms:modified xsi:type="dcterms:W3CDTF">2025-01-29T13:10:06Z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4" name="ContentTypeId">
    <vt:lpwstr>0x0101004CF7858666DCF549A225B94A6B816A81003E72089EE794D24FA826B04185D3067C</vt:lpwstr>
  </property>
  <property fmtid="{D5CDD505-2E9C-101B-9397-08002B2CF9AE}" pid="5" name="_dlc_DocIdItemGuid">
    <vt:lpwstr>6f44ebbb-92b8-4663-97b9-b5a1a1a4a0d5</vt:lpwstr>
  </property>
</Properties>
</file>