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V:\Bureau\Web\2024-07-18\Internet\"/>
    </mc:Choice>
  </mc:AlternateContent>
  <xr:revisionPtr revIDLastSave="0" documentId="13_ncr:1_{BADF1FE8-3B9F-4059-B345-2172D23E888F}" xr6:coauthVersionLast="47" xr6:coauthVersionMax="47" xr10:uidLastSave="{00000000-0000-0000-0000-000000000000}"/>
  <bookViews>
    <workbookView xWindow="-120" yWindow="-120" windowWidth="29040" windowHeight="15840" xr2:uid="{00000000-000D-0000-FFFF-FFFF00000000}"/>
  </bookViews>
  <sheets>
    <sheet name="Hydrologie-Méthode rationnelle" sheetId="6" r:id="rId1"/>
    <sheet name="Références" sheetId="8" r:id="rId2"/>
    <sheet name="Liste des stations météo" sheetId="7" state="hidden" r:id="rId3"/>
    <sheet name="Listes - Data Validation" sheetId="9" state="hidden" r:id="rId4"/>
  </sheets>
  <definedNames>
    <definedName name="_xlnm._FilterDatabase" localSheetId="2" hidden="1">'Liste des stations météo'!$A$2:$AK$150</definedName>
    <definedName name="a10_2p_st1" xml:space="preserve"> INDEX('Liste des stations météo'!$M$3:$M$1000,ligne_station_1)</definedName>
    <definedName name="a10_2p_st2" xml:space="preserve"> INDEX('Liste des stations météo'!$M$3:$M$1000,ligne_station_2)</definedName>
    <definedName name="a10_2p_st3" xml:space="preserve"> INDEX('Liste des stations météo'!$M$3:$M$1000,ligne_station_3)</definedName>
    <definedName name="a10_2p_st4" xml:space="preserve"> INDEX('Liste des stations météo'!$M$3:$M$1000,ligne_station_4)</definedName>
    <definedName name="a10_2p_st5" xml:space="preserve"> INDEX('Liste des stations météo'!$M$3:$M$1000,ligne_station_5)</definedName>
    <definedName name="a10_3p_st1" xml:space="preserve"> INDEX('Liste des stations météo'!$AA$3:$AA$1000,ligne_station_1)</definedName>
    <definedName name="a10_3p_st2" xml:space="preserve"> INDEX('Liste des stations météo'!$AA$3:$AA$1000,ligne_station_2)</definedName>
    <definedName name="a10_3p_st3" xml:space="preserve"> INDEX('Liste des stations météo'!$AA$3:$AA$1000,ligne_station_3)</definedName>
    <definedName name="a10_3p_st4" xml:space="preserve"> INDEX('Liste des stations météo'!$AA$3:$AA$1000,ligne_station_4)</definedName>
    <definedName name="a10_3p_st5" xml:space="preserve"> INDEX('Liste des stations météo'!$AA$3:$AA$1000,ligne_station_5)</definedName>
    <definedName name="a100_2p_st1" xml:space="preserve"> INDEX('Liste des stations météo'!$Q$3:$Q$1000,ligne_station_1)</definedName>
    <definedName name="a100_2p_st2" xml:space="preserve"> INDEX('Liste des stations météo'!$Q$3:$Q$1000,ligne_station_2)</definedName>
    <definedName name="a100_2p_st3" xml:space="preserve"> INDEX('Liste des stations météo'!$Q$3:$Q$1000,ligne_station_3)</definedName>
    <definedName name="a100_2p_st4" xml:space="preserve"> INDEX('Liste des stations météo'!$Q$3:$Q$1000,ligne_station_4)</definedName>
    <definedName name="a100_2p_st5" xml:space="preserve"> INDEX('Liste des stations météo'!$Q$3:$Q$1000,ligne_station_5)</definedName>
    <definedName name="a100_3p_st1" xml:space="preserve"> INDEX('Liste des stations météo'!$AE$3:$AE$1000,ligne_station_1)</definedName>
    <definedName name="a100_3p_st2" xml:space="preserve"> INDEX('Liste des stations météo'!$AE$3:$AE$1000,ligne_station_2)</definedName>
    <definedName name="a100_3p_st3" xml:space="preserve"> INDEX('Liste des stations météo'!$AE$3:$AE$1000,ligne_station_3)</definedName>
    <definedName name="a100_3p_st4" xml:space="preserve"> INDEX('Liste des stations météo'!$AE$3:$AE$1000,ligne_station_4)</definedName>
    <definedName name="a100_3p_st5" xml:space="preserve"> INDEX('Liste des stations météo'!$AE$3:$AE$1000,ligne_station_5)</definedName>
    <definedName name="a2_2p_st1" xml:space="preserve"> INDEX('Liste des stations météo'!$K$3:$K$1000,ligne_station_1)</definedName>
    <definedName name="a2_2p_st2" xml:space="preserve"> INDEX('Liste des stations météo'!$K$3:$K$1000,ligne_station_2)</definedName>
    <definedName name="a2_2p_st3" xml:space="preserve"> INDEX('Liste des stations météo'!$K$3:$K$1000,ligne_station_3)</definedName>
    <definedName name="a2_2p_st4" xml:space="preserve"> INDEX('Liste des stations météo'!$K$3:$K$1000,ligne_station_4)</definedName>
    <definedName name="a2_2p_st5" xml:space="preserve"> INDEX('Liste des stations météo'!$K$3:$K$1000,ligne_station_5)</definedName>
    <definedName name="a2_3p_st1" xml:space="preserve"> INDEX('Liste des stations météo'!$Y$3:$Y$1000,ligne_station_1)</definedName>
    <definedName name="a2_3p_st2" xml:space="preserve"> INDEX('Liste des stations météo'!$Y$3:$Y$1000,ligne_station_2)</definedName>
    <definedName name="a2_3p_st3" xml:space="preserve"> INDEX('Liste des stations météo'!$Y$3:$Y$1000,ligne_station_3)</definedName>
    <definedName name="a2_3p_st4" xml:space="preserve"> INDEX('Liste des stations météo'!$Y$3:$Y$1000,ligne_station_4)</definedName>
    <definedName name="a2_3p_st5" xml:space="preserve"> INDEX('Liste des stations météo'!$Y$3:$Y$1000,ligne_station_5)</definedName>
    <definedName name="a20_2p_st1" xml:space="preserve"> INDEX('Liste des stations météo'!$N$3:$N$1000,ligne_station_1)</definedName>
    <definedName name="a20_2p_st2" xml:space="preserve"> INDEX('Liste des stations météo'!$N$3:$N$1000,ligne_station_2)</definedName>
    <definedName name="a20_2p_st3" xml:space="preserve"> INDEX('Liste des stations météo'!$N$3:$N$1000,ligne_station_3)</definedName>
    <definedName name="a20_2p_st4" xml:space="preserve"> INDEX('Liste des stations météo'!$N$3:$N$1000,ligne_station_4)</definedName>
    <definedName name="a20_2p_st5" xml:space="preserve"> INDEX('Liste des stations météo'!$N$3:$N$1000,ligne_station_5)</definedName>
    <definedName name="a20_3p_st1" xml:space="preserve"> INDEX('Liste des stations météo'!$AB$3:$AB$1000,ligne_station_1)</definedName>
    <definedName name="a20_3p_st2" xml:space="preserve"> INDEX('Liste des stations météo'!$AB$3:$AB$1000,ligne_station_2)</definedName>
    <definedName name="a20_3p_st3" xml:space="preserve"> INDEX('Liste des stations météo'!$AB$3:$AB$1000,ligne_station_3)</definedName>
    <definedName name="a20_3p_st4" xml:space="preserve"> INDEX('Liste des stations météo'!$AB$3:$AB$1000,ligne_station_4)</definedName>
    <definedName name="a20_3p_st5" xml:space="preserve"> INDEX('Liste des stations météo'!$AB$3:$AB$1000,ligne_station_5)</definedName>
    <definedName name="a25_2p_st1" xml:space="preserve"> INDEX('Liste des stations météo'!$O$3:$O$1000,ligne_station_1)</definedName>
    <definedName name="a25_2p_st2" xml:space="preserve"> INDEX('Liste des stations météo'!$O$3:$O$1000,ligne_station_2)</definedName>
    <definedName name="a25_2p_st3" xml:space="preserve"> INDEX('Liste des stations météo'!$O$3:$O$1000,ligne_station_3)</definedName>
    <definedName name="a25_2p_st4" xml:space="preserve"> INDEX('Liste des stations météo'!$O$3:$O$1000,ligne_station_4)</definedName>
    <definedName name="a25_2p_st5" xml:space="preserve"> INDEX('Liste des stations météo'!$O$3:$O$1000,ligne_station_5)</definedName>
    <definedName name="a25_3p_st1" xml:space="preserve"> INDEX('Liste des stations météo'!$AC$3:$AC$1000,ligne_station_1)</definedName>
    <definedName name="a25_3p_st2" xml:space="preserve"> INDEX('Liste des stations météo'!$AC$3:$AC$1000,ligne_station_2)</definedName>
    <definedName name="a25_3p_st3" xml:space="preserve"> INDEX('Liste des stations météo'!$AC$3:$AC$1000,ligne_station_3)</definedName>
    <definedName name="a25_3p_st4" xml:space="preserve"> INDEX('Liste des stations météo'!$AC$3:$AC$1000,ligne_station_4)</definedName>
    <definedName name="a25_3p_st5" xml:space="preserve"> INDEX('Liste des stations météo'!$AC$3:$AC$1000,ligne_station_5)</definedName>
    <definedName name="a5_2p_st1" xml:space="preserve"> INDEX('Liste des stations météo'!$L$3:$L$1000,ligne_station_1)</definedName>
    <definedName name="a5_2p_st2" xml:space="preserve"> INDEX('Liste des stations météo'!$L$3:$L$1000,ligne_station_2)</definedName>
    <definedName name="a5_2p_st3" xml:space="preserve"> INDEX('Liste des stations météo'!$L$3:$L$1000,ligne_station_3)</definedName>
    <definedName name="a5_2p_st4" xml:space="preserve"> INDEX('Liste des stations météo'!$L$3:$L$1000,ligne_station_4)</definedName>
    <definedName name="a5_2p_st5" xml:space="preserve"> INDEX('Liste des stations météo'!$L$3:$L$1000,ligne_station_5)</definedName>
    <definedName name="a5_3p_st1" xml:space="preserve"> INDEX('Liste des stations météo'!$Z$3:$Z$1000,ligne_station_1)</definedName>
    <definedName name="a5_3p_st2" xml:space="preserve"> INDEX('Liste des stations météo'!$Z$3:$Z$1000,ligne_station_2)</definedName>
    <definedName name="a5_3p_st3" xml:space="preserve"> INDEX('Liste des stations météo'!$Z$3:$Z$1000,ligne_station_3)</definedName>
    <definedName name="a5_3p_st4" xml:space="preserve"> INDEX('Liste des stations météo'!$Z$3:$Z$1000,ligne_station_4)</definedName>
    <definedName name="a5_3p_st5" xml:space="preserve"> INDEX('Liste des stations météo'!$Z$3:$Z$1000,ligne_station_5)</definedName>
    <definedName name="a50_2p_st1" xml:space="preserve"> INDEX('Liste des stations météo'!$P$3:$P$1000,ligne_station_1)</definedName>
    <definedName name="a50_2p_st2" xml:space="preserve"> INDEX('Liste des stations météo'!$P$3:$P$1000,ligne_station_2)</definedName>
    <definedName name="a50_2p_st3" xml:space="preserve"> INDEX('Liste des stations météo'!$P$3:$P$1000,ligne_station_3)</definedName>
    <definedName name="a50_2p_st4" xml:space="preserve"> INDEX('Liste des stations météo'!$P$3:$P$1000,ligne_station_4)</definedName>
    <definedName name="a50_2p_st5" xml:space="preserve"> INDEX('Liste des stations météo'!$P$3:$P$1000,ligne_station_5)</definedName>
    <definedName name="a50_3p_st1" xml:space="preserve"> INDEX('Liste des stations météo'!$AD$3:$AD$1000,ligne_station_1)</definedName>
    <definedName name="a50_3p_st2" xml:space="preserve"> INDEX('Liste des stations météo'!$AD$3:$AD$1000,ligne_station_2)</definedName>
    <definedName name="a50_3p_st3" xml:space="preserve"> INDEX('Liste des stations météo'!$AD$3:$AD$1000,ligne_station_3)</definedName>
    <definedName name="a50_3p_st4" xml:space="preserve"> INDEX('Liste des stations météo'!$AD$3:$AD$1000,ligne_station_4)</definedName>
    <definedName name="a50_3p_st5" xml:space="preserve"> INDEX('Liste des stations météo'!$AD$3:$AD$1000,ligne_station_5)</definedName>
    <definedName name="aire_consid_pgrand_bv">IF('Hydrologie-Méthode rationnelle'!$D$139="-",TRUE,IF(ROUND(aire_considerees,2)&gt;ROUND('Hydrologie-Méthode rationnelle'!$D$139,2),TRUE,FALSE))</definedName>
    <definedName name="aire_considerees">SUMIF('Hydrologie-Méthode rationnelle'!$F$108:$F$121,"&lt;&gt;-",'Hydrologie-Méthode rationnelle'!$D$108:$D$121)+SUMIF('Hydrologie-Méthode rationnelle'!$F$124:$F$137,"&lt;&gt;-",'Hydrologie-Méthode rationnelle'!$D$124:$D$137)</definedName>
    <definedName name="aire_lacs">SUMIF('Hydrologie-Méthode rationnelle'!$A$123:$B$137,"Lacs (coefficient personnalisé)",'Hydrologie-Méthode rationnelle'!$D$123:$D$137)+'Hydrologie-Méthode rationnelle'!$D$120</definedName>
    <definedName name="aire_marécages">SUMIF('Hydrologie-Méthode rationnelle'!$A$123:$B$137,"Marécages (coefficient personnalisé)",'Hydrologie-Méthode rationnelle'!$D$123:$D$137)+'Hydrologie-Méthode rationnelle'!$D$121</definedName>
    <definedName name="altitude_station_1" xml:space="preserve"> INDEX('Liste des stations météo'!$F$3:$F$1000,ligne_station_1)</definedName>
    <definedName name="altitude_station_2" xml:space="preserve"> INDEX('Liste des stations météo'!$F$3:$F$1000,ligne_station_2)</definedName>
    <definedName name="altitude_station_3" xml:space="preserve"> INDEX('Liste des stations météo'!$F$3:$F$1000,ligne_station_3)</definedName>
    <definedName name="altitude_station_4" xml:space="preserve"> INDEX('Liste des stations météo'!$F$3:$F$1000,ligne_station_4)</definedName>
    <definedName name="altitude_station_5" xml:space="preserve"> INDEX('Liste des stations météo'!$F$3:$F$1000,ligne_station_5)</definedName>
    <definedName name="annees_station_1">INDEX('Liste des stations météo'!$I$3:$I$1000,ligne_station_1)</definedName>
    <definedName name="annees_station_2" xml:space="preserve"> INDEX('Liste des stations météo'!$I$3:$I$1000,ligne_station_2)</definedName>
    <definedName name="annees_station_3" xml:space="preserve"> INDEX('Liste des stations météo'!$I$3:$I$1000,ligne_station_3)</definedName>
    <definedName name="annees_station_4" xml:space="preserve"> INDEX('Liste des stations météo'!$I$3:$I$1000,ligne_station_4)</definedName>
    <definedName name="annees_station_5" xml:space="preserve"> INDEX('Liste des stations météo'!$I$3:$I$1000,ligne_station_5)</definedName>
    <definedName name="b10_2p_st1" xml:space="preserve"> INDEX('Liste des stations météo'!$T$3:$T$1000,ligne_station_1)</definedName>
    <definedName name="b10_2p_st2" xml:space="preserve"> INDEX('Liste des stations météo'!$T$3:$T$1000,ligne_station_2)</definedName>
    <definedName name="b10_2p_st3" xml:space="preserve"> INDEX('Liste des stations météo'!$T$3:$T$1000,ligne_station_3)</definedName>
    <definedName name="b10_2p_st4" xml:space="preserve"> INDEX('Liste des stations météo'!$T$3:$T$1000,ligne_station_4)</definedName>
    <definedName name="b10_2p_st5" xml:space="preserve"> INDEX('Liste des stations météo'!$T$3:$T$1000,ligne_station_5)</definedName>
    <definedName name="b10_3p_st1" xml:space="preserve"> INDEX('Liste des stations météo'!$AH$3:$AH$1000,ligne_station_1)</definedName>
    <definedName name="b10_3p_st2" xml:space="preserve"> INDEX('Liste des stations météo'!$AH$3:$AH$1000,ligne_station_2)</definedName>
    <definedName name="b10_3p_st3" xml:space="preserve"> INDEX('Liste des stations météo'!$AH$3:$AH$1000,ligne_station_3)</definedName>
    <definedName name="b10_3p_st4" xml:space="preserve"> INDEX('Liste des stations météo'!$AH$3:$AH$1000,ligne_station_4)</definedName>
    <definedName name="b10_3p_st5" xml:space="preserve"> INDEX('Liste des stations météo'!$AH$3:$AH$1000,ligne_station_5)</definedName>
    <definedName name="b100_2p_st1" xml:space="preserve"> INDEX('Liste des stations météo'!$X$3:$X$1000,ligne_station_1)</definedName>
    <definedName name="b100_2p_st2" xml:space="preserve"> INDEX('Liste des stations météo'!$X$3:$X$1000,ligne_station_2)</definedName>
    <definedName name="b100_2p_st3" xml:space="preserve"> INDEX('Liste des stations météo'!$X$3:$X$1000,ligne_station_3)</definedName>
    <definedName name="b100_2p_st4" xml:space="preserve"> INDEX('Liste des stations météo'!$X$3:$X$1000,ligne_station_4)</definedName>
    <definedName name="b100_2p_st5" xml:space="preserve"> INDEX('Liste des stations météo'!$X$3:$X$1000,ligne_station_5)</definedName>
    <definedName name="b100_3p_st1" xml:space="preserve"> INDEX('Liste des stations météo'!$AL$3:$AL$1000,ligne_station_1)</definedName>
    <definedName name="b100_3p_st2" xml:space="preserve"> INDEX('Liste des stations météo'!$AL$3:$AL$1000,ligne_station_2)</definedName>
    <definedName name="b100_3p_st3" xml:space="preserve"> INDEX('Liste des stations météo'!$AL$3:$AL$1000,ligne_station_3)</definedName>
    <definedName name="b100_3p_st4" xml:space="preserve"> INDEX('Liste des stations météo'!$AL$3:$AL$1000,ligne_station_4)</definedName>
    <definedName name="b100_3p_st5" xml:space="preserve"> INDEX('Liste des stations météo'!$AL$3:$AL$1000,ligne_station_5)</definedName>
    <definedName name="b2_2p_st1" xml:space="preserve"> INDEX('Liste des stations météo'!$R$3:$R$1000,ligne_station_1)</definedName>
    <definedName name="b2_2p_st2" xml:space="preserve"> INDEX('Liste des stations météo'!$R$3:$R$1000,ligne_station_2)</definedName>
    <definedName name="b2_2p_st3" xml:space="preserve"> INDEX('Liste des stations météo'!$R$3:$R$1000,ligne_station_3)</definedName>
    <definedName name="b2_2p_st4" xml:space="preserve"> INDEX('Liste des stations météo'!$R$3:$R$1000,ligne_station_4)</definedName>
    <definedName name="b2_2p_st5" xml:space="preserve"> INDEX('Liste des stations météo'!$R$3:$R$1000,ligne_station_5)</definedName>
    <definedName name="b2_3p_st1" xml:space="preserve"> INDEX('Liste des stations météo'!$AF$3:$AF$1000,ligne_station_1)</definedName>
    <definedName name="b2_3p_st2" xml:space="preserve"> INDEX('Liste des stations météo'!$AF$3:$AF$1000,ligne_station_2)</definedName>
    <definedName name="b2_3p_st3" xml:space="preserve"> INDEX('Liste des stations météo'!$AF$3:$AF$1000,ligne_station_3)</definedName>
    <definedName name="b2_3p_st4" xml:space="preserve"> INDEX('Liste des stations météo'!$AF$3:$AF$1000,ligne_station_4)</definedName>
    <definedName name="b2_3p_st5" xml:space="preserve"> INDEX('Liste des stations météo'!$AF$3:$AF$1000,ligne_station_5)</definedName>
    <definedName name="b20_2p_st1" xml:space="preserve"> INDEX('Liste des stations météo'!$U$3:$U$1000,ligne_station_1)</definedName>
    <definedName name="b20_2p_st2" xml:space="preserve"> INDEX('Liste des stations météo'!$U$3:$U$1000,ligne_station_2)</definedName>
    <definedName name="b20_2p_st3" xml:space="preserve"> INDEX('Liste des stations météo'!$U$3:$U$1000,ligne_station_3)</definedName>
    <definedName name="b20_2p_st4" xml:space="preserve"> INDEX('Liste des stations météo'!$U$3:$U$1000,ligne_station_4)</definedName>
    <definedName name="b20_2p_st5" xml:space="preserve"> INDEX('Liste des stations météo'!$U$3:$U$1000,ligne_station_5)</definedName>
    <definedName name="b20_3p_st1" xml:space="preserve"> INDEX('Liste des stations météo'!$AI$3:$AI$1000,ligne_station_1)</definedName>
    <definedName name="b20_3p_st2" xml:space="preserve"> INDEX('Liste des stations météo'!$AI$3:$AI$1000,ligne_station_2)</definedName>
    <definedName name="b20_3p_st3" xml:space="preserve"> INDEX('Liste des stations météo'!$AI$3:$AI$1000,ligne_station_3)</definedName>
    <definedName name="b20_3p_st4" xml:space="preserve"> INDEX('Liste des stations météo'!$AI$3:$AI$1000,ligne_station_4)</definedName>
    <definedName name="b20_3p_st5" xml:space="preserve"> INDEX('Liste des stations météo'!$AI$3:$AI$1000,ligne_station_5)</definedName>
    <definedName name="b25_2p_st1" xml:space="preserve"> INDEX('Liste des stations météo'!$V$3:$V$1000,ligne_station_1)</definedName>
    <definedName name="b25_2p_st2" xml:space="preserve"> INDEX('Liste des stations météo'!$V$3:$V$1000,ligne_station_2)</definedName>
    <definedName name="b25_2p_st3" xml:space="preserve"> INDEX('Liste des stations météo'!$V$3:$V$1000,ligne_station_3)</definedName>
    <definedName name="b25_2p_st4" xml:space="preserve"> INDEX('Liste des stations météo'!$V$3:$V$1000,ligne_station_4)</definedName>
    <definedName name="b25_2p_st5" xml:space="preserve"> INDEX('Liste des stations météo'!$V$3:$V$1000,ligne_station_5)</definedName>
    <definedName name="b25_3p_st1" xml:space="preserve"> INDEX('Liste des stations météo'!$AJ$3:$AJ$1000,ligne_station_1)</definedName>
    <definedName name="b25_3p_st2" xml:space="preserve"> INDEX('Liste des stations météo'!$AJ$3:$AJ$1000,ligne_station_2)</definedName>
    <definedName name="b25_3p_st3" xml:space="preserve"> INDEX('Liste des stations météo'!$AJ$3:$AJ$1000,ligne_station_3)</definedName>
    <definedName name="b25_3p_st4" xml:space="preserve"> INDEX('Liste des stations météo'!$AJ$3:$AJ$1000,ligne_station_4)</definedName>
    <definedName name="b25_3p_st5" xml:space="preserve"> INDEX('Liste des stations météo'!$AJ$3:$AJ$1000,ligne_station_5)</definedName>
    <definedName name="b5_2p_st1" xml:space="preserve"> INDEX('Liste des stations météo'!$S$3:$S$1000,ligne_station_1)</definedName>
    <definedName name="b5_2p_st2" xml:space="preserve"> INDEX('Liste des stations météo'!$S$3:$S$1000,ligne_station_2)</definedName>
    <definedName name="b5_2p_st3" xml:space="preserve"> INDEX('Liste des stations météo'!$S$3:$S$1000,ligne_station_3)</definedName>
    <definedName name="b5_2p_st4" xml:space="preserve"> INDEX('Liste des stations météo'!$S$3:$S$1000,ligne_station_4)</definedName>
    <definedName name="b5_2p_st5" xml:space="preserve"> INDEX('Liste des stations météo'!$S$3:$S$1000,ligne_station_5)</definedName>
    <definedName name="b5_3p_st1" xml:space="preserve"> INDEX('Liste des stations météo'!$AG$3:$AG$1000,ligne_station_1)</definedName>
    <definedName name="b5_3p_st2" xml:space="preserve"> INDEX('Liste des stations météo'!$AG$3:$AG$1000,ligne_station_2)</definedName>
    <definedName name="b5_3p_st3" xml:space="preserve"> INDEX('Liste des stations météo'!$AG$3:$AG$1000,ligne_station_3)</definedName>
    <definedName name="b5_3p_st4" xml:space="preserve"> INDEX('Liste des stations météo'!$AG$3:$AG$1000,ligne_station_4)</definedName>
    <definedName name="b5_3p_st5" xml:space="preserve"> INDEX('Liste des stations météo'!$AG$3:$AG$1000,ligne_station_5)</definedName>
    <definedName name="b50_2p_st1" xml:space="preserve"> INDEX('Liste des stations météo'!$W$3:$W$1000,ligne_station_1)</definedName>
    <definedName name="b50_2p_st2" xml:space="preserve"> INDEX('Liste des stations météo'!$W$3:$W$1000,ligne_station_2)</definedName>
    <definedName name="b50_2p_st3" xml:space="preserve"> INDEX('Liste des stations météo'!$W$3:$W$1000,ligne_station_3)</definedName>
    <definedName name="b50_2p_st4" xml:space="preserve"> INDEX('Liste des stations météo'!$W$3:$W$1000,ligne_station_4)</definedName>
    <definedName name="b50_2p_st5" xml:space="preserve"> INDEX('Liste des stations météo'!$W$3:$W$1000,ligne_station_5)</definedName>
    <definedName name="b50_3p_st1" xml:space="preserve"> INDEX('Liste des stations météo'!$AK$3:$AK$1000,ligne_station_1)</definedName>
    <definedName name="b50_3p_st2" xml:space="preserve"> INDEX('Liste des stations météo'!$AK$3:$AK$1000,ligne_station_2)</definedName>
    <definedName name="b50_3p_st3" xml:space="preserve"> INDEX('Liste des stations météo'!$AK$3:$AK$1000,ligne_station_3)</definedName>
    <definedName name="b50_3p_st4" xml:space="preserve"> INDEX('Liste des stations météo'!$AK$3:$AK$1000,ligne_station_4)</definedName>
    <definedName name="b50_3p_st5" xml:space="preserve"> INDEX('Liste des stations météo'!$AK$3:$AK$1000,ligne_station_5)</definedName>
    <definedName name="bool_tc_mauvais">IF(AND('Hydrologie-Méthode rationnelle'!$C$173&lt;&gt;"",'Hydrologie-Méthode rationnelle'!$C$173&lt;&gt;'Hydrologie-Méthode rationnelle'!$C$166,'Hydrologie-Méthode rationnelle'!$C$173&lt;&gt;'Hydrologie-Méthode rationnelle'!$C$168,'Hydrologie-Méthode rationnelle'!$C$173&lt;&gt;'Hydrologie-Méthode rationnelle'!$C$170),TRUE(),FALSE())</definedName>
    <definedName name="coeff_lam_a">IF('Hydrologie-Méthode rationnelle'!$C$271&gt;25,0.54,3.44397259018428E-08*'Hydrologie-Méthode rationnelle'!$C$271^6 - 3.08310888154969E-06*'Hydrologie-Méthode rationnelle'!$C$271^5 + 0.000110041981753119*'Hydrologie-Méthode rationnelle'!$C$271^4 - 0.00200879899973695*'Hydrologie-Méthode rationnelle'!$C$271^3 + 0.0202952668509159*'Hydrologie-Méthode rationnelle'!$C$271^2 - 0.119732791127014*'Hydrologie-Méthode rationnelle'!$C$271 + 0.95221491562013)</definedName>
    <definedName name="coeff_lam_b">IF('Hydrologie-Méthode rationnelle'!$C$271&gt;25,0.57,5.05265798076728E-08*'Hydrologie-Méthode rationnelle'!$C$271^6 - 4.41925139435138E-06*'Hydrologie-Méthode rationnelle'!$C$271^5 + 0.000152894414449915*'Hydrologie-Méthode rationnelle'!$C$271^4 - 0.002663859294644*'Hydrologie-Méthode rationnelle'!$C$271^3 + 0.0248509489510131*'Hydrologie-Méthode rationnelle'!$C$271^2 - 0.128895510598122*'Hydrologie-Méthode rationnelle'!$C$271 + 0.985989266237532)</definedName>
    <definedName name="coeff_lam_c">IF('Hydrologie-Méthode rationnelle'!$C$271&gt;25,0.77,1.57972430215106E-08*'Hydrologie-Méthode rationnelle'!$C$271^6 - 1.38248633621118E-06*'Hydrologie-Méthode rationnelle'!$C$271^5 + 0.0000483178613579092*'Hydrologie-Méthode rationnelle'!$C$271^4 - 0.000872460424024132*'Hydrologie-Méthode rationnelle'!$C$271^3 + 0.00897865582451068*'Hydrologie-Méthode rationnelle'!$C$271^2 - 0.0562982641116372*'Hydrologie-Méthode rationnelle'!$C$271 + 0.975318857470744)</definedName>
    <definedName name="coeff_maj">IF('Hydrologie-Méthode rationnelle'!$D$284="Zone A: 20%",20,IF('Hydrologie-Méthode rationnelle'!$D$284="Zone B: 18%",18,""))</definedName>
    <definedName name="d10_3p_st1" xml:space="preserve"> INDEX('Liste des stations météo'!$AO$3:$AO$1000,ligne_station_1)</definedName>
    <definedName name="d10_3p_st2" xml:space="preserve"> INDEX('Liste des stations météo'!$AO$3:$AO$1000,ligne_station_2)</definedName>
    <definedName name="d10_3p_st3" xml:space="preserve"> INDEX('Liste des stations météo'!$AO$3:$AO$1000,ligne_station_3)</definedName>
    <definedName name="d10_3p_st4" xml:space="preserve"> INDEX('Liste des stations météo'!$AO$3:$AO$1000,ligne_station_4)</definedName>
    <definedName name="d10_3p_st5" xml:space="preserve"> INDEX('Liste des stations météo'!$AO$3:$AO$1000,ligne_station_5)</definedName>
    <definedName name="d100_3p_st1" xml:space="preserve"> INDEX('Liste des stations météo'!$AS$3:$AS$1000,ligne_station_1)</definedName>
    <definedName name="d100_3p_st2" xml:space="preserve"> INDEX('Liste des stations météo'!$AS$3:$AS$1000,ligne_station_2)</definedName>
    <definedName name="d100_3p_st3" xml:space="preserve"> INDEX('Liste des stations météo'!$AS$3:$AS$1000,ligne_station_3)</definedName>
    <definedName name="d100_3p_st4" xml:space="preserve"> INDEX('Liste des stations météo'!$AS$3:$AS$1000,ligne_station_4)</definedName>
    <definedName name="d100_3p_st5" xml:space="preserve"> INDEX('Liste des stations météo'!$AS$3:$AS$1000,ligne_station_5)</definedName>
    <definedName name="d2_3p_st1" xml:space="preserve"> INDEX('Liste des stations météo'!$AM$3:$AM$1000,ligne_station_1)</definedName>
    <definedName name="d2_3p_st2" xml:space="preserve"> INDEX('Liste des stations météo'!$AM$3:$AM$1000,ligne_station_2)</definedName>
    <definedName name="d2_3p_st3" xml:space="preserve"> INDEX('Liste des stations météo'!$AM$3:$AM$1000,ligne_station_3)</definedName>
    <definedName name="d2_3p_st4" xml:space="preserve"> INDEX('Liste des stations météo'!$AM$3:$AM$1000,ligne_station_4)</definedName>
    <definedName name="d2_3p_st5" xml:space="preserve"> INDEX('Liste des stations météo'!$AM$3:$AM$1000,ligne_station_5)</definedName>
    <definedName name="d20_3p_st1" xml:space="preserve"> INDEX('Liste des stations météo'!$AP$3:$AP$1000,ligne_station_1)</definedName>
    <definedName name="d20_3p_st2" xml:space="preserve"> INDEX('Liste des stations météo'!$AP$3:$AP$1000,ligne_station_2)</definedName>
    <definedName name="d20_3p_st3" xml:space="preserve"> INDEX('Liste des stations météo'!$AP$3:$AP$1000,ligne_station_3)</definedName>
    <definedName name="d20_3p_st4" xml:space="preserve"> INDEX('Liste des stations météo'!$AP$3:$AP$1000,ligne_station_4)</definedName>
    <definedName name="d20_3p_st5" xml:space="preserve"> INDEX('Liste des stations météo'!$AP$3:$AP$1000,ligne_station_5)</definedName>
    <definedName name="d25_3p_st1" xml:space="preserve"> INDEX('Liste des stations météo'!$AQ$3:$AQ$1000,ligne_station_1)</definedName>
    <definedName name="d25_3p_st2" xml:space="preserve"> INDEX('Liste des stations météo'!$AQ$3:$AQ$1000,ligne_station_2)</definedName>
    <definedName name="d25_3p_st3" xml:space="preserve"> INDEX('Liste des stations météo'!$AQ$3:$AQ$1000,ligne_station_3)</definedName>
    <definedName name="d25_3p_st4" xml:space="preserve"> INDEX('Liste des stations météo'!$AQ$3:$AQ$1000,ligne_station_4)</definedName>
    <definedName name="d25_3p_st5" xml:space="preserve"> INDEX('Liste des stations météo'!$AQ$3:$AQ$1000,ligne_station_5)</definedName>
    <definedName name="d5_3p_st1" xml:space="preserve"> INDEX('Liste des stations météo'!$AN$3:$AN$1000,ligne_station_1)</definedName>
    <definedName name="d5_3p_st2" xml:space="preserve"> INDEX('Liste des stations météo'!$AN$3:$AN$1000,ligne_station_2)</definedName>
    <definedName name="d5_3p_st3" xml:space="preserve"> INDEX('Liste des stations météo'!$AN$3:$AN$1000,ligne_station_3)</definedName>
    <definedName name="d5_3p_st4" xml:space="preserve"> INDEX('Liste des stations météo'!$AN$3:$AN$1000,ligne_station_4)</definedName>
    <definedName name="d5_3p_st5" xml:space="preserve"> INDEX('Liste des stations météo'!$AN$3:$AN$1000,ligne_station_5)</definedName>
    <definedName name="d50_3p_st1" xml:space="preserve"> INDEX('Liste des stations météo'!$AR$3:$AR$1000,ligne_station_1)</definedName>
    <definedName name="d50_3p_st2" xml:space="preserve"> INDEX('Liste des stations météo'!$AR$3:$AR$1000,ligne_station_2)</definedName>
    <definedName name="d50_3p_st3" xml:space="preserve"> INDEX('Liste des stations météo'!$AR$3:$AR$1000,ligne_station_3)</definedName>
    <definedName name="d50_3p_st4" xml:space="preserve"> INDEX('Liste des stations météo'!$AR$3:$AR$1000,ligne_station_4)</definedName>
    <definedName name="d50_3p_st5" xml:space="preserve"> INDEX('Liste des stations météo'!$AR$3:$AR$1000,ligne_station_5)</definedName>
    <definedName name="debut_station_1">INDEX('Liste des stations météo'!$G$3:$G$1000,ligne_station_1)</definedName>
    <definedName name="debut_station_2" xml:space="preserve"> INDEX('Liste des stations météo'!$G$3:$G$1000,ligne_station_2)</definedName>
    <definedName name="debut_station_3" xml:space="preserve"> INDEX('Liste des stations météo'!$G$3:$G$1000,ligne_station_3)</definedName>
    <definedName name="debut_station_4" xml:space="preserve"> INDEX('Liste des stations météo'!$G$3:$G$1000,ligne_station_4)</definedName>
    <definedName name="debut_station_5" xml:space="preserve"> INDEX('Liste des stations météo'!$G$3:$G$1000,ligne_station_5)</definedName>
    <definedName name="distance_station_1">INDEX('Liste des stations météo'!$E$3:$E$1000,ligne_station_1)</definedName>
    <definedName name="distance_station_2">INDEX('Liste des stations météo'!$E$3:$E$1000,ligne_station_2)</definedName>
    <definedName name="distance_station_3">INDEX('Liste des stations météo'!$E$3:$E$1000,ligne_station_3)</definedName>
    <definedName name="distance_station_4">INDEX('Liste des stations météo'!$E$3:$E$1000,ligne_station_4)</definedName>
    <definedName name="distance_station_5">INDEX('Liste des stations météo'!$E$3:$E$1000,ligne_station_5)</definedName>
    <definedName name="fin_station_1">INDEX('Liste des stations météo'!$H$3:$H$1000,ligne_station_1)</definedName>
    <definedName name="fin_station_2" xml:space="preserve"> INDEX('Liste des stations météo'!$H$3:$H$1000,ligne_station_2)</definedName>
    <definedName name="fin_station_3" xml:space="preserve"> INDEX('Liste des stations météo'!$H$3:$H$1000,ligne_station_3)</definedName>
    <definedName name="fin_station_4" xml:space="preserve"> INDEX('Liste des stations météo'!$H$3:$H$1000,ligne_station_4)</definedName>
    <definedName name="fin_station_5" xml:space="preserve"> INDEX('Liste des stations météo'!$H$3:$H$1000,ligne_station_5)</definedName>
    <definedName name="I10_tc">INDEX('Hydrologie-Méthode rationnelle'!$C$256:$E$256,param_select)</definedName>
    <definedName name="I100_tc">INDEX('Hydrologie-Méthode rationnelle'!$C$260:$E$260,param_select)</definedName>
    <definedName name="I2_tc">INDEX('Hydrologie-Méthode rationnelle'!$C$254:$E$254,param_select)</definedName>
    <definedName name="I20_tc">INDEX('Hydrologie-Méthode rationnelle'!$C$257:$E$257,param_select)</definedName>
    <definedName name="I25_tc">INDEX('Hydrologie-Méthode rationnelle'!$C$258:$E$258,param_select)</definedName>
    <definedName name="I2560_station_1" xml:space="preserve"> INDEX('Liste des stations météo'!$J$3:$J$1000,ligne_station_1)</definedName>
    <definedName name="I2560_station_2" xml:space="preserve"> INDEX('Liste des stations météo'!$J$3:$J$1000,ligne_station_2)</definedName>
    <definedName name="I2560_station_3" xml:space="preserve"> INDEX('Liste des stations météo'!$J$3:$J$1000,ligne_station_3)</definedName>
    <definedName name="I2560_station_4" xml:space="preserve"> INDEX('Liste des stations météo'!$J$3:$J$1000,ligne_station_4)</definedName>
    <definedName name="I2560_station_5" xml:space="preserve"> INDEX('Liste des stations météo'!$J$3:$J$1000,ligne_station_5)</definedName>
    <definedName name="I5_tc">INDEX('Hydrologie-Méthode rationnelle'!$C$255:$E$255,param_select)</definedName>
    <definedName name="I50_tc">INDEX('Hydrologie-Méthode rationnelle'!$C$259:$E$259,param_select)</definedName>
    <definedName name="ligne_station_1">MATCH(SMALL('Liste des stations météo'!$E$3:$E$1000,1),'Liste des stations météo'!$E$3:$E$1000,0)</definedName>
    <definedName name="ligne_station_2">MATCH(SMALL('Liste des stations météo'!$E$3:$E$1000,2),'Liste des stations météo'!$E$3:$E$1000,0)</definedName>
    <definedName name="ligne_station_3" xml:space="preserve"> MATCH(SMALL('Liste des stations météo'!$E$3:$E$1000,3),'Liste des stations météo'!$E$3:$E$1000,0)</definedName>
    <definedName name="ligne_station_4">MATCH(SMALL('Liste des stations météo'!$E$3:$E$1000,4),'Liste des stations météo'!$E$3:$E$1000,0)</definedName>
    <definedName name="ligne_station_5" xml:space="preserve"> MATCH(SMALL('Liste des stations météo'!$E$3:$E$1000,5),'Liste des stations météo'!$E$3:$E$1000,0)</definedName>
    <definedName name="nom_station_1">INDEX('Liste des stations météo'!$A$3:$A$1000,ligne_station_1)</definedName>
    <definedName name="nom_station_2" xml:space="preserve"> INDEX('Liste des stations météo'!$A$3:$A$1000,ligne_station_2)</definedName>
    <definedName name="nom_station_3" xml:space="preserve"> INDEX('Liste des stations météo'!$A$3:$A$1000,ligne_station_3)</definedName>
    <definedName name="nom_station_4" xml:space="preserve"> INDEX('Liste des stations météo'!$A$3:$A$1000,ligne_station_4)</definedName>
    <definedName name="nom_station_5" xml:space="preserve"> INDEX('Liste des stations météo'!$A$3:$A$1000,ligne_station_5)</definedName>
    <definedName name="numero_station_1">INDEX('Liste des stations météo'!$B$3:$B$1000,ligne_station_1)</definedName>
    <definedName name="numero_station_2" xml:space="preserve"> INDEX('Liste des stations météo'!$B$3:$B$1000,ligne_station_2)</definedName>
    <definedName name="numero_station_3" xml:space="preserve"> INDEX('Liste des stations météo'!$B$3:$B$1000,ligne_station_3)</definedName>
    <definedName name="numero_station_4" xml:space="preserve"> INDEX('Liste des stations météo'!$B$3:$B$1000,ligne_station_4)</definedName>
    <definedName name="numero_station_5" xml:space="preserve"> INDEX('Liste des stations météo'!$B$3:$B$1000,ligne_station_5)</definedName>
    <definedName name="param_select">IF('Hydrologie-Méthode rationnelle'!$E$247="2 paramètres",1,IF('Hydrologie-Méthode rationnelle'!$E$247="3 paramètres",2,IF('Hydrologie-Méthode rationnelle'!$E$247="Fq &amp; Fi",3,"")))</definedName>
    <definedName name="somme_lh">IF('Hydrologie-Méthode rationnelle'!$C$87="-",0,SUM('Hydrologie-Méthode rationnelle'!$C$67:$C$86))</definedName>
    <definedName name="somme_lv">IF('Hydrologie-Méthode rationnelle'!$E$87="-",0,SUM('Hydrologie-Méthode rationnelle'!$E$67:$E$86))</definedName>
    <definedName name="somme_nh">IF('Hydrologie-Méthode rationnelle'!$B$87="-",0,SUM('Hydrologie-Méthode rationnelle'!$B$67:$B$86))</definedName>
    <definedName name="somme_nv">IF('Hydrologie-Méthode rationnelle'!$D$87="-",0,SUM('Hydrologie-Méthode rationnelle'!$D$67:$D$86))</definedName>
    <definedName name="stat_select">MATCH('Hydrologie-Méthode rationnelle'!$E$246,'Hydrologie-Méthode rationnelle'!$O$191:$V$191,0)</definedName>
    <definedName name="tc_grand_040">IF(OR('Hydrologie-Méthode rationnelle'!$D$141="-",'Hydrologie-Méthode rationnelle'!$E$156="-"),"-",MAX((0.057*'Hydrologie-Méthode rationnelle'!$E$150)/(('Hydrologie-Méthode rationnelle'!$E$156^0.2)*('Hydrologie-Méthode rationnelle'!$C$44*100)^0.1),10))</definedName>
    <definedName name="tc_petit_040">IF(OR('Hydrologie-Méthode rationnelle'!$D$141="-",'Hydrologie-Méthode rationnelle'!$E$156="-"),"-",MAX(IF(AND('Hydrologie-Méthode rationnelle'!$D$141&gt;0.2,'Hydrologie-Méthode rationnelle'!$D$141&lt;0.4,'Hydrologie-Méthode rationnelle'!$E$156&lt;0.5),(3.26*(1.1-'Hydrologie-Méthode rationnelle'!$D$141)*('Hydrologie-Méthode rationnelle'!$E$150^0.5))/(0.5^0.33),IF(AND('Hydrologie-Méthode rationnelle'!$D$141&lt;=0.2,'Hydrologie-Méthode rationnelle'!$E$156&lt;0.1),(3.26*(1.1-'Hydrologie-Méthode rationnelle'!$D$141)*('Hydrologie-Méthode rationnelle'!$E$150^0.5))/(0.1^0.33),(3.26*(1.1-'Hydrologie-Méthode rationnelle'!$D$141)*('Hydrologie-Méthode rationnelle'!$E$150^0.5))/('Hydrologie-Méthode rationnelle'!$E$156^0.33))),10))</definedName>
    <definedName name="_xlnm.Print_Area" localSheetId="0">'Hydrologie-Méthode rationnelle'!$A$2:$G$339,'Hydrologie-Méthode rationnelle'!$H$2:$N$232</definedName>
    <definedName name="_xlnm.Print_Area" localSheetId="1">Références!$B$1:$K$258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8" i="6" l="1" a="1"/>
  <c r="D318" i="6" s="1"/>
  <c r="F246" i="6" l="1"/>
  <c r="F170" i="6"/>
  <c r="F88" i="6"/>
  <c r="E22" i="6"/>
  <c r="E219" i="6" l="1" a="1"/>
  <c r="E219" i="6" s="1"/>
  <c r="C219" i="6" a="1"/>
  <c r="C219" i="6" s="1"/>
  <c r="E152" i="6" l="1"/>
  <c r="E151" i="6"/>
  <c r="E119" i="6" a="1"/>
  <c r="E119" i="6" s="1"/>
  <c r="E118" i="6" a="1"/>
  <c r="E118" i="6" s="1"/>
  <c r="E117" i="6" a="1"/>
  <c r="E117" i="6" s="1"/>
  <c r="E116" i="6" a="1"/>
  <c r="E116" i="6" s="1"/>
  <c r="E115" i="6" a="1"/>
  <c r="E115" i="6" s="1"/>
  <c r="E114" i="6" a="1"/>
  <c r="E114" i="6" s="1"/>
  <c r="E113" i="6" a="1"/>
  <c r="E113" i="6" s="1"/>
  <c r="E112" i="6" a="1"/>
  <c r="E112" i="6" s="1"/>
  <c r="E111" i="6" a="1"/>
  <c r="E111" i="6" s="1"/>
  <c r="E110" i="6" a="1"/>
  <c r="E110" i="6" s="1"/>
  <c r="E109" i="6" a="1"/>
  <c r="E109" i="6" s="1"/>
  <c r="E108" i="6" a="1"/>
  <c r="E108" i="6" s="1"/>
  <c r="C208" i="6"/>
  <c r="C209" i="6"/>
  <c r="E252" i="6" a="1"/>
  <c r="E252" i="6" s="1"/>
  <c r="D253" i="6" a="1"/>
  <c r="D253" i="6" s="1"/>
  <c r="D252" i="6" a="1"/>
  <c r="D252" i="6" s="1"/>
  <c r="C253" i="6" a="1"/>
  <c r="C253" i="6" s="1"/>
  <c r="C252" i="6" a="1"/>
  <c r="C252" i="6" s="1"/>
  <c r="F251" i="6"/>
  <c r="D211" i="6" l="1"/>
  <c r="B166" i="6" l="1"/>
  <c r="B168" i="6"/>
  <c r="D139" i="6"/>
  <c r="C319" i="6" l="1"/>
  <c r="J2" i="8"/>
  <c r="C318" i="6" l="1"/>
  <c r="C300" i="6"/>
  <c r="A170" i="6"/>
  <c r="D42" i="6" l="1"/>
  <c r="F124" i="6"/>
  <c r="F125" i="6"/>
  <c r="F126" i="6"/>
  <c r="F127" i="6"/>
  <c r="F128" i="6"/>
  <c r="F129" i="6"/>
  <c r="F130" i="6"/>
  <c r="F131" i="6"/>
  <c r="F132" i="6"/>
  <c r="F133" i="6"/>
  <c r="F134" i="6"/>
  <c r="F135" i="6"/>
  <c r="F136" i="6"/>
  <c r="F137" i="6"/>
  <c r="C303" i="6"/>
  <c r="C304" i="6"/>
  <c r="C305" i="6"/>
  <c r="C306" i="6"/>
  <c r="C302" i="6"/>
  <c r="C301" i="6"/>
  <c r="E982" i="7"/>
  <c r="E149" i="7"/>
  <c r="E150" i="7"/>
  <c r="F156" i="6" l="1"/>
  <c r="B87" i="6"/>
  <c r="C87" i="6"/>
  <c r="E87" i="6"/>
  <c r="D87" i="6"/>
  <c r="C89" i="6" l="1" a="1"/>
  <c r="C89" i="6" s="1"/>
  <c r="F120" i="6"/>
  <c r="F121" i="6"/>
  <c r="F108" i="6"/>
  <c r="C312" i="6"/>
  <c r="F119" i="6"/>
  <c r="F118" i="6"/>
  <c r="F117" i="6"/>
  <c r="F116" i="6"/>
  <c r="F115" i="6"/>
  <c r="F114" i="6"/>
  <c r="F113" i="6"/>
  <c r="F112" i="6"/>
  <c r="F111" i="6"/>
  <c r="F110" i="6"/>
  <c r="F109" i="6"/>
  <c r="G124" i="6" l="1" a="1"/>
  <c r="G124" i="6" s="1"/>
  <c r="E138" i="6" a="1"/>
  <c r="E138" i="6" s="1"/>
  <c r="D102" i="6"/>
  <c r="D138" i="6" a="1"/>
  <c r="D138" i="6" s="1"/>
  <c r="D140" i="6" s="1"/>
  <c r="D141" i="6" l="1"/>
  <c r="E102" i="6"/>
  <c r="D312" i="6" s="1"/>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3" i="7"/>
  <c r="E984" i="7"/>
  <c r="E985" i="7"/>
  <c r="E986" i="7"/>
  <c r="E987" i="7"/>
  <c r="E988" i="7"/>
  <c r="E989" i="7"/>
  <c r="E990" i="7"/>
  <c r="E991" i="7"/>
  <c r="E992" i="7"/>
  <c r="E993" i="7"/>
  <c r="E994" i="7"/>
  <c r="E995" i="7"/>
  <c r="E996" i="7"/>
  <c r="E997" i="7"/>
  <c r="E998" i="7"/>
  <c r="E999" i="7"/>
  <c r="E1000" i="7"/>
  <c r="E151" i="7"/>
  <c r="E152" i="7"/>
  <c r="E153" i="7"/>
  <c r="E154" i="7"/>
  <c r="E155" i="7"/>
  <c r="E156" i="7"/>
  <c r="E157"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3" i="7"/>
  <c r="C269" i="6" l="1" a="1"/>
  <c r="C269" i="6" s="1"/>
  <c r="C270" i="6" a="1"/>
  <c r="C270" i="6" s="1"/>
  <c r="G193" i="6" a="1"/>
  <c r="G193" i="6" s="1"/>
  <c r="F195" i="6" a="1"/>
  <c r="F195" i="6" s="1"/>
  <c r="D193" i="6" a="1"/>
  <c r="D193" i="6" s="1"/>
  <c r="C195" i="6" a="1"/>
  <c r="C195" i="6" s="1"/>
  <c r="G198" i="6" a="1"/>
  <c r="G198" i="6" s="1"/>
  <c r="F194" i="6" a="1"/>
  <c r="F194" i="6" s="1"/>
  <c r="D198" i="6" a="1"/>
  <c r="D198" i="6" s="1"/>
  <c r="C194" i="6" a="1"/>
  <c r="C194" i="6" s="1"/>
  <c r="G197" i="6" a="1"/>
  <c r="G197" i="6" s="1"/>
  <c r="F192" i="6" a="1"/>
  <c r="F192" i="6" s="1"/>
  <c r="D197" i="6" a="1"/>
  <c r="D197" i="6" s="1"/>
  <c r="C192" i="6" a="1"/>
  <c r="C192" i="6" s="1"/>
  <c r="G196" i="6" a="1"/>
  <c r="G196" i="6" s="1"/>
  <c r="F191" i="6" a="1"/>
  <c r="F191" i="6" s="1"/>
  <c r="R191" i="6" s="1"/>
  <c r="D196" i="6" a="1"/>
  <c r="D196" i="6" s="1"/>
  <c r="C191" i="6" a="1"/>
  <c r="C191" i="6" s="1"/>
  <c r="G195" i="6" a="1"/>
  <c r="G195" i="6" s="1"/>
  <c r="E193" i="6" a="1"/>
  <c r="E193" i="6" s="1"/>
  <c r="D195" i="6" a="1"/>
  <c r="D195" i="6" s="1"/>
  <c r="F196" i="6" a="1"/>
  <c r="F196" i="6" s="1"/>
  <c r="G194" i="6" a="1"/>
  <c r="G194" i="6" s="1"/>
  <c r="E198" i="6" a="1"/>
  <c r="E198" i="6" s="1"/>
  <c r="D194" i="6" a="1"/>
  <c r="D194" i="6" s="1"/>
  <c r="E191" i="6" a="1"/>
  <c r="E191" i="6" s="1"/>
  <c r="Q191" i="6" s="1"/>
  <c r="G192" i="6" a="1"/>
  <c r="G192" i="6" s="1"/>
  <c r="E197" i="6" a="1"/>
  <c r="E197" i="6" s="1"/>
  <c r="D192" i="6" a="1"/>
  <c r="D192" i="6" s="1"/>
  <c r="C197" i="6" a="1"/>
  <c r="C197" i="6" s="1"/>
  <c r="G191" i="6" a="1"/>
  <c r="G191" i="6" s="1"/>
  <c r="S191" i="6" s="1"/>
  <c r="E196" i="6" a="1"/>
  <c r="E196" i="6" s="1"/>
  <c r="D191" i="6" a="1"/>
  <c r="D191" i="6" s="1"/>
  <c r="P191" i="6" s="1"/>
  <c r="C198" i="6" a="1"/>
  <c r="C198" i="6" s="1"/>
  <c r="F193" i="6" a="1"/>
  <c r="F193" i="6" s="1"/>
  <c r="E195" i="6" a="1"/>
  <c r="E195" i="6" s="1"/>
  <c r="C193" i="6" a="1"/>
  <c r="C193" i="6" s="1"/>
  <c r="E194" i="6" a="1"/>
  <c r="E194" i="6" s="1"/>
  <c r="F198" i="6" a="1"/>
  <c r="F198" i="6" s="1"/>
  <c r="F197" i="6" a="1"/>
  <c r="F197" i="6" s="1"/>
  <c r="E192" i="6" a="1"/>
  <c r="E192" i="6" s="1"/>
  <c r="C196" i="6" a="1"/>
  <c r="C196" i="6" s="1"/>
  <c r="O191" i="6" l="1"/>
  <c r="C271" i="6"/>
  <c r="D268" i="6" s="1"/>
  <c r="C190" i="6" a="1"/>
  <c r="C190" i="6" s="1"/>
  <c r="E156" i="6" l="1"/>
  <c r="C325" i="6" l="1"/>
  <c r="C321" i="6"/>
  <c r="C315" i="6"/>
  <c r="C310" i="6" l="1"/>
  <c r="C316" i="6"/>
  <c r="C311" i="6" l="1"/>
  <c r="G190" i="6" l="1" a="1"/>
  <c r="G190" i="6" s="1"/>
  <c r="F190" i="6" a="1"/>
  <c r="F190" i="6" s="1"/>
  <c r="E190" i="6" a="1"/>
  <c r="E190" i="6" s="1"/>
  <c r="D190" i="6" a="1"/>
  <c r="D190" i="6" s="1"/>
  <c r="D313" i="6" l="1"/>
  <c r="C168" i="6" l="1" a="1"/>
  <c r="C168" i="6" s="1"/>
  <c r="C322" i="6" l="1"/>
  <c r="C166" i="6" a="1"/>
  <c r="C166" i="6" s="1"/>
  <c r="C173" i="6" s="1"/>
  <c r="F242" i="6" s="1"/>
  <c r="A169" i="6"/>
  <c r="A167" i="6"/>
  <c r="C272" i="6" a="1"/>
  <c r="C272" i="6" s="1"/>
  <c r="C323" i="6" s="1"/>
  <c r="C313" i="6"/>
  <c r="E242" i="6" l="1"/>
  <c r="E260" i="6" s="1" a="1"/>
  <c r="E260" i="6" s="1"/>
  <c r="F260" i="6" s="1" a="1"/>
  <c r="F260" i="6" s="1"/>
  <c r="D260" i="6" a="1"/>
  <c r="D260" i="6" s="1"/>
  <c r="C257" i="6" a="1"/>
  <c r="C257" i="6" s="1"/>
  <c r="C259" i="6" a="1"/>
  <c r="C259" i="6" s="1"/>
  <c r="D256" i="6" a="1"/>
  <c r="D256" i="6" s="1"/>
  <c r="D255" i="6" a="1"/>
  <c r="D255" i="6" s="1"/>
  <c r="C260" i="6" a="1"/>
  <c r="C260" i="6" s="1"/>
  <c r="D259" i="6" a="1"/>
  <c r="D259" i="6" s="1"/>
  <c r="C254" i="6" a="1"/>
  <c r="C254" i="6" s="1"/>
  <c r="D257" i="6" a="1"/>
  <c r="D257" i="6" s="1"/>
  <c r="D258" i="6" a="1"/>
  <c r="D258" i="6" s="1"/>
  <c r="D254" i="6" a="1"/>
  <c r="D254" i="6" s="1"/>
  <c r="C256" i="6" a="1"/>
  <c r="C256" i="6" s="1"/>
  <c r="C258" i="6" a="1"/>
  <c r="C258" i="6" s="1"/>
  <c r="C255" i="6" a="1"/>
  <c r="C255" i="6" s="1"/>
  <c r="F172" i="6"/>
  <c r="C317" i="6"/>
  <c r="E256" i="6" l="1" a="1"/>
  <c r="E256" i="6" s="1"/>
  <c r="F256" i="6" s="1" a="1"/>
  <c r="F256" i="6" s="1"/>
  <c r="E254" i="6" a="1"/>
  <c r="E254" i="6" s="1"/>
  <c r="F254" i="6" s="1" a="1"/>
  <c r="F254" i="6" s="1"/>
  <c r="E255" i="6" a="1"/>
  <c r="E255" i="6" s="1"/>
  <c r="F255" i="6" s="1" a="1"/>
  <c r="F255" i="6" s="1"/>
  <c r="E257" i="6" a="1"/>
  <c r="E257" i="6" s="1"/>
  <c r="F257" i="6" s="1" a="1"/>
  <c r="F257" i="6" s="1"/>
  <c r="E258" i="6" a="1"/>
  <c r="E258" i="6" s="1"/>
  <c r="F258" i="6" s="1" a="1"/>
  <c r="F258" i="6" s="1"/>
  <c r="E259" i="6" a="1"/>
  <c r="E259" i="6" s="1"/>
  <c r="F259" i="6" s="1" a="1"/>
  <c r="F259" i="6" s="1"/>
  <c r="C290" i="6" l="1" a="1"/>
  <c r="C290" i="6" s="1"/>
  <c r="D290" i="6" l="1"/>
  <c r="D333" i="6" s="1"/>
  <c r="C333" i="6"/>
  <c r="C295" i="6" a="1"/>
  <c r="C295" i="6" s="1"/>
  <c r="C292" i="6" a="1"/>
  <c r="C292" i="6" s="1"/>
  <c r="D292" i="6" s="1"/>
  <c r="C294" i="6" a="1"/>
  <c r="C294" i="6" s="1"/>
  <c r="C293" i="6" a="1"/>
  <c r="C293" i="6" s="1"/>
  <c r="D293" i="6" s="1"/>
  <c r="C291" i="6" a="1"/>
  <c r="C291" i="6" s="1"/>
  <c r="C289" i="6" a="1"/>
  <c r="C289" i="6" s="1"/>
  <c r="D289" i="6" s="1"/>
  <c r="C338" i="6" l="1"/>
  <c r="D295" i="6"/>
  <c r="D338" i="6" s="1"/>
  <c r="C337" i="6"/>
  <c r="D294" i="6"/>
  <c r="D337" i="6" s="1"/>
  <c r="C334" i="6"/>
  <c r="D291" i="6"/>
  <c r="D334" i="6" s="1"/>
  <c r="D336" i="6"/>
  <c r="C336" i="6"/>
  <c r="D332" i="6"/>
  <c r="C332" i="6"/>
  <c r="D335" i="6"/>
  <c r="C335"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<sst xmlns="http://schemas.openxmlformats.org/spreadsheetml/2006/main" count="1192" uniqueCount="686">
  <si>
    <t>Pente</t>
  </si>
  <si>
    <t>Marécages</t>
  </si>
  <si>
    <t>Somme</t>
  </si>
  <si>
    <t>Culture</t>
  </si>
  <si>
    <t>Pâturage</t>
  </si>
  <si>
    <t>Boisé</t>
  </si>
  <si>
    <t>A</t>
  </si>
  <si>
    <t>B</t>
  </si>
  <si>
    <t>C</t>
  </si>
  <si>
    <t>3 à 8%</t>
  </si>
  <si>
    <t>Route :</t>
  </si>
  <si>
    <t>Municipalité :</t>
  </si>
  <si>
    <t>Lignes horizontales</t>
  </si>
  <si>
    <t>Lignes verticales</t>
  </si>
  <si>
    <t>Classification hydrologique</t>
  </si>
  <si>
    <t>Coefficient</t>
  </si>
  <si>
    <t>&lt; 3%</t>
  </si>
  <si>
    <t>D</t>
  </si>
  <si>
    <t>&gt; 8%</t>
  </si>
  <si>
    <t>Maisons à appartements [0,50 à 0,70]</t>
  </si>
  <si>
    <t>Parc et cimetière [0,10 à 0,25]</t>
  </si>
  <si>
    <t>Terrain de jeu [0,20 à 0,35]</t>
  </si>
  <si>
    <t>Chemin de fer [0,20 à 0,35]</t>
  </si>
  <si>
    <t>Terrain vague [0,10 à 0,30]</t>
  </si>
  <si>
    <t>Lacs</t>
  </si>
  <si>
    <t>Nom</t>
  </si>
  <si>
    <t>Numero</t>
  </si>
  <si>
    <t>Latitude</t>
  </si>
  <si>
    <t>Longitude</t>
  </si>
  <si>
    <t>Altitude</t>
  </si>
  <si>
    <t>Annee_debut</t>
  </si>
  <si>
    <t>Annee_fin</t>
  </si>
  <si>
    <t>I2560</t>
  </si>
  <si>
    <t>A2ans</t>
  </si>
  <si>
    <t>A5ans</t>
  </si>
  <si>
    <t>A10ans</t>
  </si>
  <si>
    <t>A20ans</t>
  </si>
  <si>
    <t>A50ans</t>
  </si>
  <si>
    <t>A100ans</t>
  </si>
  <si>
    <t>B2ans</t>
  </si>
  <si>
    <t>B5ans</t>
  </si>
  <si>
    <t>B10ans</t>
  </si>
  <si>
    <t>B25ans</t>
  </si>
  <si>
    <t>B50ans</t>
  </si>
  <si>
    <t>B100ans</t>
  </si>
  <si>
    <t>BEAUPORT</t>
  </si>
  <si>
    <t>7010565</t>
  </si>
  <si>
    <t>2000</t>
  </si>
  <si>
    <t>2017</t>
  </si>
  <si>
    <t>7011309</t>
  </si>
  <si>
    <t>1972</t>
  </si>
  <si>
    <t>1997</t>
  </si>
  <si>
    <t>DESCHAMBAULT</t>
  </si>
  <si>
    <t>7011982</t>
  </si>
  <si>
    <t>1973</t>
  </si>
  <si>
    <t>1999</t>
  </si>
  <si>
    <t>DUBERGER</t>
  </si>
  <si>
    <t>7012232</t>
  </si>
  <si>
    <t>1990</t>
  </si>
  <si>
    <t>DUCHESNAY</t>
  </si>
  <si>
    <t>7012240</t>
  </si>
  <si>
    <t>1971</t>
  </si>
  <si>
    <t>1993</t>
  </si>
  <si>
    <t>7013362</t>
  </si>
  <si>
    <t>1967</t>
  </si>
  <si>
    <t>7014160</t>
  </si>
  <si>
    <t>1963</t>
  </si>
  <si>
    <t>OKA</t>
  </si>
  <si>
    <t>7015730</t>
  </si>
  <si>
    <t>1969</t>
  </si>
  <si>
    <t>QUEBEC</t>
  </si>
  <si>
    <t>7016280</t>
  </si>
  <si>
    <t>1914</t>
  </si>
  <si>
    <t>1943</t>
  </si>
  <si>
    <t>7016800</t>
  </si>
  <si>
    <t>7016900</t>
  </si>
  <si>
    <t>1966</t>
  </si>
  <si>
    <t>1989</t>
  </si>
  <si>
    <t>7016902</t>
  </si>
  <si>
    <t>1978</t>
  </si>
  <si>
    <t>7016906</t>
  </si>
  <si>
    <t>7016932</t>
  </si>
  <si>
    <t>1968</t>
  </si>
  <si>
    <t>7017100</t>
  </si>
  <si>
    <t>1970</t>
  </si>
  <si>
    <t>7017B65</t>
  </si>
  <si>
    <t>1984</t>
  </si>
  <si>
    <t>7017BFN</t>
  </si>
  <si>
    <t>1996</t>
  </si>
  <si>
    <t>SHAWINIGAN</t>
  </si>
  <si>
    <t>7018001</t>
  </si>
  <si>
    <t>701A9E0</t>
  </si>
  <si>
    <t>1981</t>
  </si>
  <si>
    <t>701HE63</t>
  </si>
  <si>
    <t>1977</t>
  </si>
  <si>
    <t>1998</t>
  </si>
  <si>
    <t>701S001</t>
  </si>
  <si>
    <t>1961</t>
  </si>
  <si>
    <t>ARTHABASKA</t>
  </si>
  <si>
    <t>7020305</t>
  </si>
  <si>
    <t>ASBESTOS</t>
  </si>
  <si>
    <t>7020360</t>
  </si>
  <si>
    <t>1986</t>
  </si>
  <si>
    <t>BROME</t>
  </si>
  <si>
    <t>7020840</t>
  </si>
  <si>
    <t>CHARTIERVILLE</t>
  </si>
  <si>
    <t>7021320</t>
  </si>
  <si>
    <t>DANVILLE</t>
  </si>
  <si>
    <t>7021954</t>
  </si>
  <si>
    <t>1987</t>
  </si>
  <si>
    <t>DRUMMONDVILLE</t>
  </si>
  <si>
    <t>7022160</t>
  </si>
  <si>
    <t>FORTIERVILLE</t>
  </si>
  <si>
    <t>7022494</t>
  </si>
  <si>
    <t>1974</t>
  </si>
  <si>
    <t>FRELIGHSBURG</t>
  </si>
  <si>
    <t>7022579</t>
  </si>
  <si>
    <t>2005</t>
  </si>
  <si>
    <t>GEORGEVILLE</t>
  </si>
  <si>
    <t>7022720</t>
  </si>
  <si>
    <t>GRANBY</t>
  </si>
  <si>
    <t>7022802</t>
  </si>
  <si>
    <t>7023312</t>
  </si>
  <si>
    <t>7023677</t>
  </si>
  <si>
    <t>LAUZON</t>
  </si>
  <si>
    <t>7024254</t>
  </si>
  <si>
    <t>1979</t>
  </si>
  <si>
    <t>LENNOXVILLE</t>
  </si>
  <si>
    <t>7024280</t>
  </si>
  <si>
    <t>1960</t>
  </si>
  <si>
    <t>LINGWICK</t>
  </si>
  <si>
    <t>7024320</t>
  </si>
  <si>
    <t>7024624</t>
  </si>
  <si>
    <t>1965</t>
  </si>
  <si>
    <t>1980</t>
  </si>
  <si>
    <t>MCTAVISH</t>
  </si>
  <si>
    <t>7024745</t>
  </si>
  <si>
    <t>1906</t>
  </si>
  <si>
    <t>2014</t>
  </si>
  <si>
    <t>7025212</t>
  </si>
  <si>
    <t>7025257</t>
  </si>
  <si>
    <t>7025260</t>
  </si>
  <si>
    <t>7025267</t>
  </si>
  <si>
    <t>1991</t>
  </si>
  <si>
    <t>NICOLET</t>
  </si>
  <si>
    <t>7025440</t>
  </si>
  <si>
    <t>1982</t>
  </si>
  <si>
    <t>ORMSTOWN</t>
  </si>
  <si>
    <t>7025745</t>
  </si>
  <si>
    <t>7027039</t>
  </si>
  <si>
    <t>7027110</t>
  </si>
  <si>
    <t>1995</t>
  </si>
  <si>
    <t>7027120</t>
  </si>
  <si>
    <t>7027200</t>
  </si>
  <si>
    <t>7027248</t>
  </si>
  <si>
    <t>1976</t>
  </si>
  <si>
    <t>7027259</t>
  </si>
  <si>
    <t>1985</t>
  </si>
  <si>
    <t>7027283</t>
  </si>
  <si>
    <t>7027302</t>
  </si>
  <si>
    <t>7027320</t>
  </si>
  <si>
    <t>7027372</t>
  </si>
  <si>
    <t>7027517</t>
  </si>
  <si>
    <t>7027656</t>
  </si>
  <si>
    <t>7027725</t>
  </si>
  <si>
    <t>7027750</t>
  </si>
  <si>
    <t>7027785</t>
  </si>
  <si>
    <t>7027802</t>
  </si>
  <si>
    <t>SHERBROOKE</t>
  </si>
  <si>
    <t>7028120</t>
  </si>
  <si>
    <t>1959</t>
  </si>
  <si>
    <t>7028124</t>
  </si>
  <si>
    <t>1962</t>
  </si>
  <si>
    <t>1994</t>
  </si>
  <si>
    <t>7028441</t>
  </si>
  <si>
    <t>7028676</t>
  </si>
  <si>
    <t>VALLEYFIELD</t>
  </si>
  <si>
    <t>7028680</t>
  </si>
  <si>
    <t>BEAUCEVILLE</t>
  </si>
  <si>
    <t>7028754</t>
  </si>
  <si>
    <t>7028906</t>
  </si>
  <si>
    <t>1992</t>
  </si>
  <si>
    <t>WOBURN</t>
  </si>
  <si>
    <t>7028946</t>
  </si>
  <si>
    <t>702FHL8</t>
  </si>
  <si>
    <t>702LED4</t>
  </si>
  <si>
    <t>702S006</t>
  </si>
  <si>
    <t>ANGERS</t>
  </si>
  <si>
    <t>7030170</t>
  </si>
  <si>
    <t>7030457</t>
  </si>
  <si>
    <t>CHENEVILLE</t>
  </si>
  <si>
    <t>7031375</t>
  </si>
  <si>
    <t>7034480</t>
  </si>
  <si>
    <t>7035290</t>
  </si>
  <si>
    <t>2008</t>
  </si>
  <si>
    <t>NOMININGUE</t>
  </si>
  <si>
    <t>7035520</t>
  </si>
  <si>
    <t>7036762</t>
  </si>
  <si>
    <t>7037400</t>
  </si>
  <si>
    <t>SHAWVILLE</t>
  </si>
  <si>
    <t>7038040</t>
  </si>
  <si>
    <t>7040440</t>
  </si>
  <si>
    <t>2004</t>
  </si>
  <si>
    <t>7040446</t>
  </si>
  <si>
    <t>7040813</t>
  </si>
  <si>
    <t>7041177</t>
  </si>
  <si>
    <t>7041312</t>
  </si>
  <si>
    <t>CHEVERY</t>
  </si>
  <si>
    <t>7041382</t>
  </si>
  <si>
    <t>FORESTVILLE</t>
  </si>
  <si>
    <t>7042378</t>
  </si>
  <si>
    <t>7042395</t>
  </si>
  <si>
    <t>7042590</t>
  </si>
  <si>
    <t>7042870</t>
  </si>
  <si>
    <t>7043018</t>
  </si>
  <si>
    <t>7045400</t>
  </si>
  <si>
    <t>PENTECOTE</t>
  </si>
  <si>
    <t>7045910</t>
  </si>
  <si>
    <t>SEPT-ILES</t>
  </si>
  <si>
    <t>7047914</t>
  </si>
  <si>
    <t>704Q003</t>
  </si>
  <si>
    <t>BAIE-COMEAU</t>
  </si>
  <si>
    <t>704S001</t>
  </si>
  <si>
    <t>7051160</t>
  </si>
  <si>
    <t>7051175</t>
  </si>
  <si>
    <t>2015</t>
  </si>
  <si>
    <t>7052820</t>
  </si>
  <si>
    <t>7053649</t>
  </si>
  <si>
    <t>7053KGR</t>
  </si>
  <si>
    <t>1983</t>
  </si>
  <si>
    <t>7054096</t>
  </si>
  <si>
    <t>MATANE</t>
  </si>
  <si>
    <t>7054640</t>
  </si>
  <si>
    <t>MURDOCHVILLE</t>
  </si>
  <si>
    <t>7055380</t>
  </si>
  <si>
    <t>7055675</t>
  </si>
  <si>
    <t>NOUVELLE</t>
  </si>
  <si>
    <t>7055705</t>
  </si>
  <si>
    <t>PORT-MENIER</t>
  </si>
  <si>
    <t>7056202</t>
  </si>
  <si>
    <t>RIMOUSKI</t>
  </si>
  <si>
    <t>7056480</t>
  </si>
  <si>
    <t>1964</t>
  </si>
  <si>
    <t>7056563</t>
  </si>
  <si>
    <t>RIVIERE-DU-LOUP</t>
  </si>
  <si>
    <t>7056616</t>
  </si>
  <si>
    <t>7056814</t>
  </si>
  <si>
    <t>7056922</t>
  </si>
  <si>
    <t>7056970</t>
  </si>
  <si>
    <t>7057287</t>
  </si>
  <si>
    <t>7057395</t>
  </si>
  <si>
    <t>7057518</t>
  </si>
  <si>
    <t>7057574</t>
  </si>
  <si>
    <t>7060400</t>
  </si>
  <si>
    <t>JONQUIERE</t>
  </si>
  <si>
    <t>7063370</t>
  </si>
  <si>
    <t>7063690</t>
  </si>
  <si>
    <t>7065100</t>
  </si>
  <si>
    <t>NORMANDIN</t>
  </si>
  <si>
    <t>7065639</t>
  </si>
  <si>
    <t>7066080</t>
  </si>
  <si>
    <t>7066685</t>
  </si>
  <si>
    <t>2012</t>
  </si>
  <si>
    <t>7067060</t>
  </si>
  <si>
    <t>706Q001</t>
  </si>
  <si>
    <t>7072816</t>
  </si>
  <si>
    <t>7074240</t>
  </si>
  <si>
    <t>PARENT</t>
  </si>
  <si>
    <t>7075800</t>
  </si>
  <si>
    <t>SAINT-MICHEL-DES-SAINTS</t>
  </si>
  <si>
    <t>7077571</t>
  </si>
  <si>
    <t>7080452</t>
  </si>
  <si>
    <t>2007</t>
  </si>
  <si>
    <t>7080468</t>
  </si>
  <si>
    <t>AMOS</t>
  </si>
  <si>
    <t>7090120</t>
  </si>
  <si>
    <t>CHAPAIS</t>
  </si>
  <si>
    <t>7091299</t>
  </si>
  <si>
    <t>7093716</t>
  </si>
  <si>
    <t>7094120</t>
  </si>
  <si>
    <t>7094639</t>
  </si>
  <si>
    <t>NITCHEQUON</t>
  </si>
  <si>
    <t>7095480</t>
  </si>
  <si>
    <t>7096621</t>
  </si>
  <si>
    <t>7098603</t>
  </si>
  <si>
    <t>710S005</t>
  </si>
  <si>
    <t>7113534</t>
  </si>
  <si>
    <t>2013</t>
  </si>
  <si>
    <t>QUAQTAQ</t>
  </si>
  <si>
    <t>7116270</t>
  </si>
  <si>
    <t>7117827</t>
  </si>
  <si>
    <t>Nombre_annees</t>
  </si>
  <si>
    <t>2021</t>
  </si>
  <si>
    <t>20</t>
  </si>
  <si>
    <t>22</t>
  </si>
  <si>
    <t>25</t>
  </si>
  <si>
    <t>18</t>
  </si>
  <si>
    <t>59</t>
  </si>
  <si>
    <t>24</t>
  </si>
  <si>
    <t>30</t>
  </si>
  <si>
    <t>26</t>
  </si>
  <si>
    <t>16</t>
  </si>
  <si>
    <t>13</t>
  </si>
  <si>
    <t>10</t>
  </si>
  <si>
    <t>50</t>
  </si>
  <si>
    <t>11</t>
  </si>
  <si>
    <t>17</t>
  </si>
  <si>
    <t>61</t>
  </si>
  <si>
    <t>21</t>
  </si>
  <si>
    <t>23</t>
  </si>
  <si>
    <t>36</t>
  </si>
  <si>
    <t>14</t>
  </si>
  <si>
    <t>29</t>
  </si>
  <si>
    <t>33</t>
  </si>
  <si>
    <t>31</t>
  </si>
  <si>
    <t>15</t>
  </si>
  <si>
    <t>27</t>
  </si>
  <si>
    <t>12</t>
  </si>
  <si>
    <t>32</t>
  </si>
  <si>
    <t>44</t>
  </si>
  <si>
    <t>76</t>
  </si>
  <si>
    <t>28</t>
  </si>
  <si>
    <t>48</t>
  </si>
  <si>
    <t>41</t>
  </si>
  <si>
    <t>7053038</t>
  </si>
  <si>
    <t>53</t>
  </si>
  <si>
    <t>45</t>
  </si>
  <si>
    <t>19</t>
  </si>
  <si>
    <t>35</t>
  </si>
  <si>
    <t>40</t>
  </si>
  <si>
    <t>52</t>
  </si>
  <si>
    <t>42</t>
  </si>
  <si>
    <t>2018</t>
  </si>
  <si>
    <t>A25ans</t>
  </si>
  <si>
    <t>C2ans</t>
  </si>
  <si>
    <t>C5ans</t>
  </si>
  <si>
    <t>C10ans</t>
  </si>
  <si>
    <t>C25ans</t>
  </si>
  <si>
    <t>C50ans</t>
  </si>
  <si>
    <t>C100ans</t>
  </si>
  <si>
    <t>B20ans</t>
  </si>
  <si>
    <t>C20ans</t>
  </si>
  <si>
    <t>CHARLESBOURG-PARC-ORLEAN</t>
  </si>
  <si>
    <t>JOLIETTE-VILLE</t>
  </si>
  <si>
    <t>L'ASSOMPTION</t>
  </si>
  <si>
    <t>ST-ALBAN</t>
  </si>
  <si>
    <t>ST-AUGUSTIN</t>
  </si>
  <si>
    <t>STE-BEATRIX</t>
  </si>
  <si>
    <t>ST-BENOIT</t>
  </si>
  <si>
    <t>STE-CATHERINE</t>
  </si>
  <si>
    <t>ST-DONAT</t>
  </si>
  <si>
    <t>STE-FOY-MATAPEDIA</t>
  </si>
  <si>
    <t>STE-FOY-(PIE-XII)</t>
  </si>
  <si>
    <t>COURVILLE-DE-POISSY</t>
  </si>
  <si>
    <t>TROIS-RIVIERES-AQUEDUC</t>
  </si>
  <si>
    <t>QUEBEC-JEAN-LESAGE-INTL</t>
  </si>
  <si>
    <t>ISLAND-BROOK</t>
  </si>
  <si>
    <t>LAC-MEGANTIC-2</t>
  </si>
  <si>
    <t>MAPLE-LEAF-EAST</t>
  </si>
  <si>
    <t>MONT-MEGANTIC</t>
  </si>
  <si>
    <t>MONTREAL-JAR-BOT</t>
  </si>
  <si>
    <t>MONTREAL-JEAN-BREBEUF</t>
  </si>
  <si>
    <t>MONTREAL-LAFONTAINE</t>
  </si>
  <si>
    <t>STE-CLOTHILDE</t>
  </si>
  <si>
    <t>STE-DOROTHEE</t>
  </si>
  <si>
    <t>STE-EDWIDGE</t>
  </si>
  <si>
    <t>ST-EPHREM</t>
  </si>
  <si>
    <t>ST-FERDINAND</t>
  </si>
  <si>
    <t>ST-FLAVIEN</t>
  </si>
  <si>
    <t>ST-GEORGES</t>
  </si>
  <si>
    <t>ST-GUILLAUME</t>
  </si>
  <si>
    <t>MONTREAL-ST-HUBERT-A</t>
  </si>
  <si>
    <t>ST-ISIDORE-D'AUCKLAND</t>
  </si>
  <si>
    <t>STE-MADELEINE</t>
  </si>
  <si>
    <t>ST-PIERRE-DE-BROUGHTON</t>
  </si>
  <si>
    <t>ST-SEBASTIEN</t>
  </si>
  <si>
    <t>ST-THEOPHILE</t>
  </si>
  <si>
    <t>ST-ZACHARIE</t>
  </si>
  <si>
    <t>SAWYERVILLE-NORD</t>
  </si>
  <si>
    <t>SHERBROOKE-A</t>
  </si>
  <si>
    <t>THETFORD-MINES</t>
  </si>
  <si>
    <t>VALLEE-JONCTION</t>
  </si>
  <si>
    <t>WEST-DITTON</t>
  </si>
  <si>
    <t>STE-ANNE-DE-BELLEVUE-1</t>
  </si>
  <si>
    <t>L'ACADIE</t>
  </si>
  <si>
    <t>MONTREAL-PIERRE-ELLIOTT-TRUDEAU-INTL</t>
  </si>
  <si>
    <t>BARRAGE-MERCIER</t>
  </si>
  <si>
    <t>MANIWAKI-UA</t>
  </si>
  <si>
    <t>MONTREAL-MIRABEL-INT'L-A</t>
  </si>
  <si>
    <t>STE-AGATHE-DES-MONTS</t>
  </si>
  <si>
    <t>ST-JEROME</t>
  </si>
  <si>
    <t>BAIE-COMEAU-A</t>
  </si>
  <si>
    <t>BAIE-ST-PAUL</t>
  </si>
  <si>
    <t>BLANC-SABLON-A</t>
  </si>
  <si>
    <t>CAP-TOURMENTE</t>
  </si>
  <si>
    <t>CHARLEVOIX-(MRC)</t>
  </si>
  <si>
    <t>FORET-MONTMORENCY-RCS</t>
  </si>
  <si>
    <t>GAGNON-A</t>
  </si>
  <si>
    <t>GRAND-FONDS</t>
  </si>
  <si>
    <t>HAVRE-SAINT-PIERRE-A</t>
  </si>
  <si>
    <t>NATASHQUAN-A</t>
  </si>
  <si>
    <t>POINTE-NOIRE-CS</t>
  </si>
  <si>
    <t>ILES-DE-LA-MADELEINE</t>
  </si>
  <si>
    <t>SCHEFFERVILLE-A</t>
  </si>
  <si>
    <t>Coefficients a et b (linéaire)</t>
  </si>
  <si>
    <t>Coefficients a, b et c (polynomiale)</t>
  </si>
  <si>
    <t>Nom de la station</t>
  </si>
  <si>
    <t>CAP-MADELEINE</t>
  </si>
  <si>
    <t>CAP-SEIZE</t>
  </si>
  <si>
    <t>GRANDE-RIVIERE</t>
  </si>
  <si>
    <t>HEATH-POINT</t>
  </si>
  <si>
    <t>LAC-HUMQUI</t>
  </si>
  <si>
    <t>LA-POCATIERE</t>
  </si>
  <si>
    <t>NOTRE-DAME-DU-LAC</t>
  </si>
  <si>
    <t>RIVIERE-AU-RENARD</t>
  </si>
  <si>
    <t>ST-ALEXIS-DE-MATAPEDIA</t>
  </si>
  <si>
    <t>ST-BRUNO-KAMOURASKA</t>
  </si>
  <si>
    <t>ST-CHARLES-GARNIER</t>
  </si>
  <si>
    <t>STE-GERMAINE</t>
  </si>
  <si>
    <t>ST-JEAN-DE-CHERBOURG</t>
  </si>
  <si>
    <t>ST-MALACHIE</t>
  </si>
  <si>
    <t>ST-MODESTE</t>
  </si>
  <si>
    <t>BAGOTVILLE-A</t>
  </si>
  <si>
    <t>LAC-STE-CROIX</t>
  </si>
  <si>
    <t>MONT-APICA</t>
  </si>
  <si>
    <t>PORTAGE-DES-ROCHES</t>
  </si>
  <si>
    <t>ROBERVAL-A</t>
  </si>
  <si>
    <t>ST-COEUR-DE-MARIE</t>
  </si>
  <si>
    <t>LA-BAIE</t>
  </si>
  <si>
    <t>GRANDE-ANSE</t>
  </si>
  <si>
    <t>LA-TUQUE</t>
  </si>
  <si>
    <t>BARRAGE-ANGLIERS</t>
  </si>
  <si>
    <t>BARRAGE-TEMISCAMINGUE</t>
  </si>
  <si>
    <t>LA-GRANDE-RIVIERE-A</t>
  </si>
  <si>
    <t>LA-SARRE</t>
  </si>
  <si>
    <t>MATAGAMI-A</t>
  </si>
  <si>
    <t>RIVIERE-HEVA</t>
  </si>
  <si>
    <t>VAL-D'OR-A</t>
  </si>
  <si>
    <t>INUKJUAK-A</t>
  </si>
  <si>
    <t>KUUJJUAQ-A</t>
  </si>
  <si>
    <t>Référence 1</t>
  </si>
  <si>
    <t>Références</t>
  </si>
  <si>
    <t>Occupation</t>
  </si>
  <si>
    <t>a</t>
  </si>
  <si>
    <t>b</t>
  </si>
  <si>
    <t>c</t>
  </si>
  <si>
    <t>Commentaires</t>
  </si>
  <si>
    <t>Station personnalisée</t>
  </si>
  <si>
    <t>Période de retour (ans)</t>
  </si>
  <si>
    <t>-----------------</t>
  </si>
  <si>
    <t>Urbain - Terre-plein [0,20 à 0,40]</t>
  </si>
  <si>
    <t>Urbain - Pavage (asphalte ou béton) [0,80 à 0,95]</t>
  </si>
  <si>
    <t>Urbain - Route de gravier et accotement [0,40 à 0,60]</t>
  </si>
  <si>
    <t>Urbain - Toiture [0,70 à 0,95]</t>
  </si>
  <si>
    <t>Commercial - Centre-ville [0,70 à 0,95]</t>
  </si>
  <si>
    <t>Industriel -  Peu dense [0,50 à 0,80]</t>
  </si>
  <si>
    <t>Commercial - Banlieue [0,50 à 0,70]</t>
  </si>
  <si>
    <t>Industriel - Dense [0,60 à 0,90]</t>
  </si>
  <si>
    <t>Résidentiel - Unifamiliale [0,30 à 0,50]</t>
  </si>
  <si>
    <t>Résidentiel - Habitations multiples détachées [0,40 à 0,60]</t>
  </si>
  <si>
    <t>Résidentiel - Habitations multiples attachées [0,60 à 0,75]</t>
  </si>
  <si>
    <t>Résidentiel -  Banlieue [0,25 à 0,40]</t>
  </si>
  <si>
    <t>Autre</t>
  </si>
  <si>
    <t>-----------------------</t>
  </si>
  <si>
    <t>Lacs (coefficient personnalisé)</t>
  </si>
  <si>
    <t>Marécages (coefficient personnalisé)</t>
  </si>
  <si>
    <t>Distance (calculée automatiquement)</t>
  </si>
  <si>
    <t>Commentaire</t>
  </si>
  <si>
    <t>LÉGENDE</t>
  </si>
  <si>
    <t>Valeur à entrer :</t>
  </si>
  <si>
    <t>Résultat :</t>
  </si>
  <si>
    <t>Erreur :</t>
  </si>
  <si>
    <t>Avertissement :</t>
  </si>
  <si>
    <t>Obstacle :</t>
  </si>
  <si>
    <t xml:space="preserve"> Date : </t>
  </si>
  <si>
    <t>Autres :</t>
  </si>
  <si>
    <t>Valeur saisie automatiquement :</t>
  </si>
  <si>
    <r>
      <t>Nombre d'intersections (N</t>
    </r>
    <r>
      <rPr>
        <vertAlign val="subscript"/>
        <sz val="10"/>
        <color rgb="FF143D8D"/>
        <rFont val="Swis721 Lt BT"/>
        <family val="2"/>
      </rPr>
      <t>h</t>
    </r>
    <r>
      <rPr>
        <sz val="10"/>
        <color rgb="FF143D8D"/>
        <rFont val="Swis721 Lt BT"/>
        <family val="2"/>
      </rPr>
      <t>)</t>
    </r>
  </si>
  <si>
    <r>
      <t>Nombre d'intersections (N</t>
    </r>
    <r>
      <rPr>
        <vertAlign val="subscript"/>
        <sz val="10"/>
        <color rgb="FF143D8D"/>
        <rFont val="Swis721 Lt BT"/>
        <family val="2"/>
      </rPr>
      <t>v</t>
    </r>
    <r>
      <rPr>
        <sz val="10"/>
        <color rgb="FF143D8D"/>
        <rFont val="Swis721 Lt BT"/>
        <family val="2"/>
      </rPr>
      <t>)</t>
    </r>
  </si>
  <si>
    <t xml:space="preserve">où       </t>
  </si>
  <si>
    <r>
      <t>N</t>
    </r>
    <r>
      <rPr>
        <vertAlign val="subscript"/>
        <sz val="12"/>
        <rFont val="Swis721 Lt BT"/>
        <family val="2"/>
      </rPr>
      <t>h,v</t>
    </r>
    <r>
      <rPr>
        <sz val="12"/>
        <rFont val="Swis721 Lt BT"/>
        <family val="2"/>
      </rPr>
      <t xml:space="preserve"> : nombre de fois où les lignes horizontales et verticales coupent une courbe de niveau</t>
    </r>
  </si>
  <si>
    <r>
      <t>L</t>
    </r>
    <r>
      <rPr>
        <vertAlign val="subscript"/>
        <sz val="12"/>
        <rFont val="Swis721 Lt BT"/>
        <family val="2"/>
      </rPr>
      <t>h,v</t>
    </r>
    <r>
      <rPr>
        <sz val="12"/>
        <rFont val="Swis721 Lt BT"/>
        <family val="2"/>
      </rPr>
      <t xml:space="preserve"> : longueur des lignes horizontales et verticales (m)</t>
    </r>
  </si>
  <si>
    <r>
      <t>Int</t>
    </r>
    <r>
      <rPr>
        <vertAlign val="subscript"/>
        <sz val="12"/>
        <rFont val="Swis721 Lt BT"/>
        <family val="2"/>
      </rPr>
      <t>c</t>
    </r>
    <r>
      <rPr>
        <sz val="12"/>
        <rFont val="Swis721 Lt BT"/>
        <family val="2"/>
      </rPr>
      <t xml:space="preserve"> : intervalle des courbes de niveau (m)</t>
    </r>
  </si>
  <si>
    <r>
      <t>Aire (A) (km</t>
    </r>
    <r>
      <rPr>
        <vertAlign val="superscript"/>
        <sz val="12"/>
        <color rgb="FF143D8D"/>
        <rFont val="Swis721 Lt BT"/>
        <family val="2"/>
      </rPr>
      <t>2</t>
    </r>
    <r>
      <rPr>
        <sz val="12"/>
        <color rgb="FF143D8D"/>
        <rFont val="Swis721 Lt BT"/>
        <family val="2"/>
      </rPr>
      <t>)</t>
    </r>
  </si>
  <si>
    <r>
      <t>Coefficient (C</t>
    </r>
    <r>
      <rPr>
        <vertAlign val="subscript"/>
        <sz val="12"/>
        <color rgb="FF143D8D"/>
        <rFont val="Swis721 Lt BT"/>
        <family val="2"/>
      </rPr>
      <t>p</t>
    </r>
    <r>
      <rPr>
        <sz val="12"/>
        <color rgb="FF143D8D"/>
        <rFont val="Swis721 Lt BT"/>
        <family val="2"/>
      </rPr>
      <t>)</t>
    </r>
  </si>
  <si>
    <r>
      <t>Classe de pente (S</t>
    </r>
    <r>
      <rPr>
        <b/>
        <vertAlign val="subscript"/>
        <sz val="12"/>
        <rFont val="Swis721 Lt BT"/>
        <family val="2"/>
      </rPr>
      <t>b</t>
    </r>
    <r>
      <rPr>
        <b/>
        <sz val="12"/>
        <rFont val="Swis721 Lt BT"/>
        <family val="2"/>
      </rPr>
      <t>) choisie :</t>
    </r>
  </si>
  <si>
    <r>
      <t>Proportion du bassin versant ayant un coefficient C</t>
    </r>
    <r>
      <rPr>
        <vertAlign val="subscript"/>
        <sz val="10"/>
        <rFont val="Swis721 Lt BT"/>
        <family val="2"/>
      </rPr>
      <t>p</t>
    </r>
    <r>
      <rPr>
        <sz val="10"/>
        <rFont val="Swis721 Lt BT"/>
        <family val="2"/>
      </rPr>
      <t xml:space="preserve"> (%)</t>
    </r>
  </si>
  <si>
    <t>Coefficients de ruissellement personnalisés</t>
  </si>
  <si>
    <t>Végétation</t>
  </si>
  <si>
    <t>Occupation du territoire  (menu déroulant)</t>
  </si>
  <si>
    <r>
      <t>Coefficient de ruissellement de pointe pondéré (C</t>
    </r>
    <r>
      <rPr>
        <b/>
        <vertAlign val="subscript"/>
        <sz val="12"/>
        <color rgb="FF143D8D"/>
        <rFont val="Swis721 Lt BT"/>
        <family val="2"/>
      </rPr>
      <t>p pondéré</t>
    </r>
    <r>
      <rPr>
        <b/>
        <sz val="12"/>
        <color rgb="FF143D8D"/>
        <rFont val="Swis721 Lt BT"/>
        <family val="2"/>
      </rPr>
      <t xml:space="preserve">) </t>
    </r>
  </si>
  <si>
    <r>
      <t>Pente moyenne du bassin versant S</t>
    </r>
    <r>
      <rPr>
        <b/>
        <vertAlign val="subscript"/>
        <sz val="12"/>
        <color rgb="FF143D8D"/>
        <rFont val="Swis721 Lt BT"/>
        <family val="2"/>
      </rPr>
      <t>b</t>
    </r>
    <r>
      <rPr>
        <b/>
        <sz val="12"/>
        <color rgb="FF143D8D"/>
        <rFont val="Swis721 Lt BT"/>
        <family val="2"/>
      </rPr>
      <t xml:space="preserve"> (%) </t>
    </r>
  </si>
  <si>
    <r>
      <t>Aire du bassin versant (A</t>
    </r>
    <r>
      <rPr>
        <vertAlign val="subscript"/>
        <sz val="10"/>
        <rFont val="Swis721 Lt BT"/>
        <family val="2"/>
      </rPr>
      <t>b</t>
    </r>
    <r>
      <rPr>
        <sz val="10"/>
        <rFont val="Swis721 Lt BT"/>
        <family val="2"/>
      </rPr>
      <t>) (km</t>
    </r>
    <r>
      <rPr>
        <vertAlign val="superscript"/>
        <sz val="10"/>
        <rFont val="Swis721 Lt BT"/>
        <family val="2"/>
      </rPr>
      <t>2</t>
    </r>
    <r>
      <rPr>
        <sz val="10"/>
        <rFont val="Swis721 Lt BT"/>
        <family val="2"/>
      </rPr>
      <t>)</t>
    </r>
  </si>
  <si>
    <r>
      <rPr>
        <sz val="11"/>
        <rFont val="Swis721 Lt BT"/>
        <family val="2"/>
      </rPr>
      <t>Données topographiques:</t>
    </r>
    <r>
      <rPr>
        <u/>
        <sz val="11"/>
        <color indexed="12"/>
        <rFont val="Swis721 Lt BT"/>
        <family val="2"/>
      </rPr>
      <t xml:space="preserve"> https://www.donneesquebec.ca/</t>
    </r>
  </si>
  <si>
    <r>
      <rPr>
        <sz val="11"/>
        <rFont val="Swis721 Lt BT"/>
        <family val="2"/>
      </rPr>
      <t>Données LiDAR:</t>
    </r>
    <r>
      <rPr>
        <b/>
        <u/>
        <sz val="11"/>
        <color rgb="FF0000FF"/>
        <rFont val="Swis721 Lt BT"/>
        <family val="2"/>
      </rPr>
      <t xml:space="preserve"> </t>
    </r>
    <r>
      <rPr>
        <u/>
        <sz val="11"/>
        <color indexed="12"/>
        <rFont val="Swis721 Lt BT"/>
        <family val="2"/>
      </rPr>
      <t xml:space="preserve">https://www.foretouverte.gouv.qc.ca/ </t>
    </r>
  </si>
  <si>
    <r>
      <t>Pente «85-10» du cours d'eau (S</t>
    </r>
    <r>
      <rPr>
        <b/>
        <vertAlign val="subscript"/>
        <sz val="12"/>
        <rFont val="Swis721 Lt BT"/>
        <family val="2"/>
      </rPr>
      <t>c</t>
    </r>
    <r>
      <rPr>
        <b/>
        <sz val="12"/>
        <rFont val="Swis721 Lt BT"/>
        <family val="2"/>
      </rPr>
      <t>) (%) :</t>
    </r>
  </si>
  <si>
    <t>où</t>
  </si>
  <si>
    <r>
      <t>A C</t>
    </r>
    <r>
      <rPr>
        <vertAlign val="subscript"/>
        <sz val="12"/>
        <color rgb="FF143D8D"/>
        <rFont val="Swis721 Lt BT"/>
        <family val="2"/>
      </rPr>
      <t>p</t>
    </r>
  </si>
  <si>
    <t>Équation</t>
  </si>
  <si>
    <t xml:space="preserve"> Si :  </t>
  </si>
  <si>
    <t>Choix du temps de concentration (minutes)</t>
  </si>
  <si>
    <r>
      <t>Si   C</t>
    </r>
    <r>
      <rPr>
        <vertAlign val="subscript"/>
        <sz val="10"/>
        <rFont val="Swis721 Lt BT"/>
        <family val="2"/>
      </rPr>
      <t>p</t>
    </r>
    <r>
      <rPr>
        <sz val="10"/>
        <rFont val="Swis721 Lt BT"/>
        <family val="2"/>
      </rPr>
      <t xml:space="preserve"> ≤ 0,20
S</t>
    </r>
    <r>
      <rPr>
        <vertAlign val="subscript"/>
        <sz val="10"/>
        <rFont val="Swis721 Lt BT"/>
        <family val="2"/>
      </rPr>
      <t>c min</t>
    </r>
    <r>
      <rPr>
        <sz val="10"/>
        <rFont val="Swis721 Lt BT"/>
        <family val="2"/>
      </rPr>
      <t xml:space="preserve"> = 0,1 %
Si   0,20 &lt; C</t>
    </r>
    <r>
      <rPr>
        <vertAlign val="subscript"/>
        <sz val="10"/>
        <rFont val="Swis721 Lt BT"/>
        <family val="2"/>
      </rPr>
      <t>p</t>
    </r>
    <r>
      <rPr>
        <sz val="10"/>
        <rFont val="Swis721 Lt BT"/>
        <family val="2"/>
      </rPr>
      <t xml:space="preserve"> &lt; 0,40
S</t>
    </r>
    <r>
      <rPr>
        <vertAlign val="subscript"/>
        <sz val="10"/>
        <rFont val="Swis721 Lt BT"/>
        <family val="2"/>
      </rPr>
      <t>c min</t>
    </r>
    <r>
      <rPr>
        <sz val="10"/>
        <rFont val="Swis721 Lt BT"/>
        <family val="2"/>
      </rPr>
      <t xml:space="preserve"> = 0,5 %</t>
    </r>
  </si>
  <si>
    <r>
      <t xml:space="preserve">Une valeur minimale de </t>
    </r>
    <r>
      <rPr>
        <b/>
        <sz val="12"/>
        <color rgb="FF143D8D"/>
        <rFont val="Swis721 Lt BT"/>
        <family val="2"/>
      </rPr>
      <t xml:space="preserve">10 min </t>
    </r>
    <r>
      <rPr>
        <sz val="12"/>
        <rFont val="Swis721 Lt BT"/>
        <family val="2"/>
      </rPr>
      <t>est recommandée pour le temps de concentration du bassin versant d'un ponceau.</t>
    </r>
  </si>
  <si>
    <r>
      <t>Temps de concentration (t</t>
    </r>
    <r>
      <rPr>
        <vertAlign val="subscript"/>
        <sz val="12"/>
        <color rgb="FF143D8D"/>
        <rFont val="Swis721 Lt BT"/>
        <family val="2"/>
      </rPr>
      <t>c</t>
    </r>
    <r>
      <rPr>
        <sz val="12"/>
        <color rgb="FF143D8D"/>
        <rFont val="Swis721 Lt BT"/>
        <family val="2"/>
      </rPr>
      <t>) (minutes):</t>
    </r>
  </si>
  <si>
    <t>Numéro de la station</t>
  </si>
  <si>
    <t>Distance par rapport au site (km)</t>
  </si>
  <si>
    <t>Première année</t>
  </si>
  <si>
    <t>Dernière année</t>
  </si>
  <si>
    <t>Altitude (m)</t>
  </si>
  <si>
    <t>Information</t>
  </si>
  <si>
    <t>Nom de la station personnalisée:</t>
  </si>
  <si>
    <t>Figure :</t>
  </si>
  <si>
    <t>Référence 2</t>
  </si>
  <si>
    <r>
      <rPr>
        <sz val="10"/>
        <rFont val="Swis721 Lt BT"/>
        <family val="2"/>
      </rPr>
      <t>I</t>
    </r>
    <r>
      <rPr>
        <vertAlign val="subscript"/>
        <sz val="10"/>
        <rFont val="Swis721 Lt BT"/>
        <family val="2"/>
      </rPr>
      <t>25,60</t>
    </r>
  </si>
  <si>
    <r>
      <t>Intensité de précipitation (I</t>
    </r>
    <r>
      <rPr>
        <b/>
        <vertAlign val="subscript"/>
        <sz val="12"/>
        <rFont val="Swis721 Lt BT"/>
        <family val="2"/>
      </rPr>
      <t>25,60</t>
    </r>
    <r>
      <rPr>
        <b/>
        <sz val="12"/>
        <rFont val="Swis721 Lt BT"/>
        <family val="2"/>
      </rPr>
      <t>) (mm/h) :</t>
    </r>
  </si>
  <si>
    <r>
      <t>Coefficient de correction de l'intensité de précipitation (F</t>
    </r>
    <r>
      <rPr>
        <b/>
        <vertAlign val="subscript"/>
        <sz val="10"/>
        <rFont val="Swis721 Lt BT"/>
        <family val="2"/>
      </rPr>
      <t>i</t>
    </r>
    <r>
      <rPr>
        <b/>
        <sz val="12"/>
        <rFont val="Swis721 Lt BT"/>
        <family val="2"/>
      </rPr>
      <t>) :</t>
    </r>
  </si>
  <si>
    <r>
      <t>F</t>
    </r>
    <r>
      <rPr>
        <vertAlign val="subscript"/>
        <sz val="12"/>
        <rFont val="Swis721 Lt BT"/>
        <family val="2"/>
      </rPr>
      <t>q</t>
    </r>
    <r>
      <rPr>
        <sz val="12"/>
        <rFont val="Swis721 Lt BT"/>
        <family val="2"/>
      </rPr>
      <t xml:space="preserve"> = Coefficient de conversion pour la période de retour</t>
    </r>
  </si>
  <si>
    <r>
      <t>F</t>
    </r>
    <r>
      <rPr>
        <vertAlign val="subscript"/>
        <sz val="12"/>
        <rFont val="Swis721 Lt BT"/>
        <family val="2"/>
      </rPr>
      <t>i</t>
    </r>
    <r>
      <rPr>
        <sz val="12"/>
        <rFont val="Swis721 Lt BT"/>
        <family val="2"/>
      </rPr>
      <t xml:space="preserve"> = 17,07t</t>
    </r>
    <r>
      <rPr>
        <vertAlign val="subscript"/>
        <sz val="12"/>
        <rFont val="Swis721 Lt BT"/>
        <family val="2"/>
      </rPr>
      <t>c</t>
    </r>
    <r>
      <rPr>
        <vertAlign val="superscript"/>
        <sz val="12"/>
        <rFont val="Swis721 Lt BT"/>
        <family val="2"/>
      </rPr>
      <t>-0,693</t>
    </r>
    <r>
      <rPr>
        <sz val="12"/>
        <rFont val="Swis721 Lt BT"/>
        <family val="2"/>
      </rPr>
      <t xml:space="preserve">      pour 1 h &lt; t</t>
    </r>
    <r>
      <rPr>
        <vertAlign val="subscript"/>
        <sz val="12"/>
        <rFont val="Swis721 Lt BT"/>
        <family val="2"/>
      </rPr>
      <t>c</t>
    </r>
    <r>
      <rPr>
        <sz val="12"/>
        <rFont val="Swis721 Lt BT"/>
        <family val="2"/>
      </rPr>
      <t xml:space="preserve"> </t>
    </r>
    <r>
      <rPr>
        <sz val="12"/>
        <rFont val="Calibri"/>
        <family val="2"/>
      </rPr>
      <t xml:space="preserve">≤ 24 </t>
    </r>
    <r>
      <rPr>
        <sz val="12"/>
        <rFont val="Swis721 Lt BT"/>
        <family val="2"/>
      </rPr>
      <t>h</t>
    </r>
  </si>
  <si>
    <t>Données IDF retenues :</t>
  </si>
  <si>
    <t>Référence 3</t>
  </si>
  <si>
    <t>Pourcentage de lacs (%) :</t>
  </si>
  <si>
    <t>Pourcentage de marécages (%) :</t>
  </si>
  <si>
    <t>Distribution des lacs et marécages :</t>
  </si>
  <si>
    <t>Majoration pour changements climatiques (%) :</t>
  </si>
  <si>
    <r>
      <t>Longueur du cours d'eau principal (L</t>
    </r>
    <r>
      <rPr>
        <b/>
        <vertAlign val="subscript"/>
        <sz val="12"/>
        <rFont val="Swis721 Lt BT"/>
        <family val="2"/>
      </rPr>
      <t>c</t>
    </r>
    <r>
      <rPr>
        <b/>
        <sz val="12"/>
        <rFont val="Swis721 Lt BT"/>
        <family val="2"/>
      </rPr>
      <t>) (m) :</t>
    </r>
  </si>
  <si>
    <r>
      <t>Q non-majorés (m</t>
    </r>
    <r>
      <rPr>
        <vertAlign val="superscript"/>
        <sz val="12"/>
        <color rgb="FF143D8D"/>
        <rFont val="Swis721 Lt BT"/>
        <family val="2"/>
      </rPr>
      <t>3</t>
    </r>
    <r>
      <rPr>
        <sz val="12"/>
        <color rgb="FF143D8D"/>
        <rFont val="Swis721 Lt BT"/>
        <family val="2"/>
      </rPr>
      <t>/s)</t>
    </r>
  </si>
  <si>
    <r>
      <t>Q majorés (m</t>
    </r>
    <r>
      <rPr>
        <vertAlign val="superscript"/>
        <sz val="12"/>
        <color rgb="FF143D8D"/>
        <rFont val="Swis721 Lt BT"/>
        <family val="2"/>
      </rPr>
      <t>3</t>
    </r>
    <r>
      <rPr>
        <sz val="12"/>
        <color rgb="FF143D8D"/>
        <rFont val="Swis721 Lt BT"/>
        <family val="2"/>
      </rPr>
      <t>/s)</t>
    </r>
  </si>
  <si>
    <t>Période de retour (années)</t>
  </si>
  <si>
    <r>
      <t>Superficie du bassin versant (A</t>
    </r>
    <r>
      <rPr>
        <b/>
        <vertAlign val="subscript"/>
        <sz val="10"/>
        <rFont val="Swis721 Lt BT"/>
        <family val="2"/>
      </rPr>
      <t>b</t>
    </r>
    <r>
      <rPr>
        <b/>
        <sz val="12"/>
        <rFont val="Swis721 Lt BT"/>
        <family val="2"/>
      </rPr>
      <t>) (km</t>
    </r>
    <r>
      <rPr>
        <b/>
        <vertAlign val="superscript"/>
        <sz val="12"/>
        <rFont val="Swis721 Lt BT"/>
        <family val="2"/>
      </rPr>
      <t>2</t>
    </r>
    <r>
      <rPr>
        <b/>
        <sz val="12"/>
        <rFont val="Swis721 Lt BT"/>
        <family val="2"/>
      </rPr>
      <t>) :</t>
    </r>
  </si>
  <si>
    <r>
      <t>Coefficient de laminage (F</t>
    </r>
    <r>
      <rPr>
        <b/>
        <vertAlign val="subscript"/>
        <sz val="12"/>
        <rFont val="Swis721 Lt BT"/>
        <family val="2"/>
      </rPr>
      <t>L</t>
    </r>
    <r>
      <rPr>
        <b/>
        <sz val="12"/>
        <rFont val="Swis721 Lt BT"/>
        <family val="2"/>
      </rPr>
      <t>)</t>
    </r>
    <r>
      <rPr>
        <b/>
        <vertAlign val="subscript"/>
        <sz val="12"/>
        <rFont val="Swis721 Lt BT"/>
        <family val="2"/>
      </rPr>
      <t xml:space="preserve"> </t>
    </r>
    <r>
      <rPr>
        <b/>
        <sz val="12"/>
        <rFont val="Swis721 Lt BT"/>
        <family val="2"/>
      </rPr>
      <t>:</t>
    </r>
  </si>
  <si>
    <t>INFORMATIONS SUR LE PROJET</t>
  </si>
  <si>
    <t>LOCALISATION DU SITE</t>
  </si>
  <si>
    <t>CALCUL DES DÉBITS</t>
  </si>
  <si>
    <r>
      <t>2.1 - Pente moyenne du bassin versant (S</t>
    </r>
    <r>
      <rPr>
        <b/>
        <vertAlign val="subscript"/>
        <sz val="12"/>
        <rFont val="Swis721 Cn BT"/>
        <family val="2"/>
      </rPr>
      <t>b</t>
    </r>
    <r>
      <rPr>
        <b/>
        <sz val="14"/>
        <rFont val="Swis721 Cn BT"/>
        <family val="2"/>
      </rPr>
      <t>)</t>
    </r>
  </si>
  <si>
    <r>
      <t>Tableau 2-1 - Calcul de la pente moyenne du bassin versant (S</t>
    </r>
    <r>
      <rPr>
        <i/>
        <vertAlign val="subscript"/>
        <sz val="12"/>
        <rFont val="Swis721 Cn BT"/>
        <family val="2"/>
      </rPr>
      <t>b</t>
    </r>
    <r>
      <rPr>
        <i/>
        <sz val="12"/>
        <rFont val="Swis721 Cn BT"/>
        <family val="2"/>
      </rPr>
      <t>)</t>
    </r>
  </si>
  <si>
    <t>CALCUL DES DÉBITS (SUITE)</t>
  </si>
  <si>
    <r>
      <t>2.2 - Calcul du coefficient de ruissellement de pointe pondéré (C</t>
    </r>
    <r>
      <rPr>
        <b/>
        <vertAlign val="subscript"/>
        <sz val="12"/>
        <rFont val="Swis721 Cn BT"/>
        <family val="2"/>
      </rPr>
      <t>p pondéré</t>
    </r>
    <r>
      <rPr>
        <b/>
        <sz val="14"/>
        <rFont val="Swis721 Cn BT"/>
        <family val="2"/>
      </rPr>
      <t>)</t>
    </r>
  </si>
  <si>
    <r>
      <t>Tableau 2-2 - Calcul du coefficient de ruissellement de pointe pondéré (C</t>
    </r>
    <r>
      <rPr>
        <i/>
        <vertAlign val="subscript"/>
        <sz val="12"/>
        <rFont val="Swis721 Cn BT"/>
        <family val="2"/>
      </rPr>
      <t>p pondéré</t>
    </r>
    <r>
      <rPr>
        <i/>
        <sz val="12"/>
        <rFont val="Swis721 Cn BT"/>
        <family val="2"/>
      </rPr>
      <t>)</t>
    </r>
  </si>
  <si>
    <r>
      <t>3.1 - Calcul de la longueur (L</t>
    </r>
    <r>
      <rPr>
        <b/>
        <vertAlign val="subscript"/>
        <sz val="12"/>
        <rFont val="Swis721 Cn BT"/>
        <family val="2"/>
      </rPr>
      <t>c</t>
    </r>
    <r>
      <rPr>
        <b/>
        <sz val="14"/>
        <rFont val="Swis721 Cn BT"/>
        <family val="2"/>
      </rPr>
      <t>) et de la pente «85-10» du cours d'eau principal (S</t>
    </r>
    <r>
      <rPr>
        <vertAlign val="subscript"/>
        <sz val="12"/>
        <rFont val="Swis721 Cn BT"/>
        <family val="2"/>
      </rPr>
      <t>c</t>
    </r>
    <r>
      <rPr>
        <sz val="14"/>
        <rFont val="Swis721 Cn BT"/>
        <family val="2"/>
      </rPr>
      <t>)</t>
    </r>
  </si>
  <si>
    <r>
      <t>3.2 - Calcul du temps de concentration (t</t>
    </r>
    <r>
      <rPr>
        <b/>
        <vertAlign val="subscript"/>
        <sz val="12"/>
        <rFont val="Swis721 Cn BT"/>
        <family val="2"/>
      </rPr>
      <t>c</t>
    </r>
    <r>
      <rPr>
        <b/>
        <sz val="14"/>
        <rFont val="Swis721 Cn BT"/>
        <family val="2"/>
      </rPr>
      <t>)</t>
    </r>
  </si>
  <si>
    <r>
      <t>Tableau 3-1 - Calcul du temps de concentration (t</t>
    </r>
    <r>
      <rPr>
        <i/>
        <vertAlign val="subscript"/>
        <sz val="12"/>
        <rFont val="Swis721 Cn BT"/>
        <family val="2"/>
      </rPr>
      <t>c</t>
    </r>
    <r>
      <rPr>
        <i/>
        <sz val="12"/>
        <rFont val="Swis721 Cn BT"/>
        <family val="2"/>
      </rPr>
      <t>)</t>
    </r>
  </si>
  <si>
    <t>3.3 - Données IDF</t>
  </si>
  <si>
    <t>3.3.1 - Données des stations pluviométriques d'Environnement Canada</t>
  </si>
  <si>
    <t>Tableau 3-3 - Paramètres des courbes IDF de la station personnalisée</t>
  </si>
  <si>
    <t>5 - CALCUL DES DÉBITS DE POINTE (Q)</t>
  </si>
  <si>
    <t>Tableau 5-1 - Sommaire des débits</t>
  </si>
  <si>
    <t>SOMMAIRE DES PARAMÈTRES ET DES RÉSULTATS</t>
  </si>
  <si>
    <t>Nom du projet :</t>
  </si>
  <si>
    <t>Numéro de projet :</t>
  </si>
  <si>
    <t>Cours d'eau :</t>
  </si>
  <si>
    <r>
      <t>Pente moyenne du bassin versant (S</t>
    </r>
    <r>
      <rPr>
        <vertAlign val="subscript"/>
        <sz val="12"/>
        <color rgb="FF143D8D"/>
        <rFont val="Swis721 Lt BT"/>
        <family val="2"/>
      </rPr>
      <t>b</t>
    </r>
    <r>
      <rPr>
        <sz val="12"/>
        <color rgb="FF143D8D"/>
        <rFont val="Swis721 Lt BT"/>
        <family val="2"/>
      </rPr>
      <t>) (%) :</t>
    </r>
  </si>
  <si>
    <t>Classe de pente sélectionnée :</t>
  </si>
  <si>
    <t>Latitude :</t>
  </si>
  <si>
    <t>Longitude :</t>
  </si>
  <si>
    <t xml:space="preserve">Donnée IDF : </t>
  </si>
  <si>
    <t xml:space="preserve">Équation pour le calcul des intensités : </t>
  </si>
  <si>
    <t xml:space="preserve">Période de retour (années) </t>
  </si>
  <si>
    <t xml:space="preserve">Distribution des lacs et marécages : </t>
  </si>
  <si>
    <t xml:space="preserve">% de lacs et marécages : </t>
  </si>
  <si>
    <r>
      <t>Coefficient de laminage (F</t>
    </r>
    <r>
      <rPr>
        <vertAlign val="subscript"/>
        <sz val="12"/>
        <color rgb="FF143D8D"/>
        <rFont val="Swis721 Lt BT"/>
        <family val="2"/>
      </rPr>
      <t>L</t>
    </r>
    <r>
      <rPr>
        <sz val="12"/>
        <color rgb="FF143D8D"/>
        <rFont val="Swis721 Lt BT"/>
        <family val="2"/>
      </rPr>
      <t xml:space="preserve">) : </t>
    </r>
  </si>
  <si>
    <t xml:space="preserve">Majoration pour changements climatiques (%) : </t>
  </si>
  <si>
    <t>PARAMÈTRES</t>
  </si>
  <si>
    <t>RÉSULTATS</t>
  </si>
  <si>
    <r>
      <t>Coefficient de ruissellement (C</t>
    </r>
    <r>
      <rPr>
        <vertAlign val="subscript"/>
        <sz val="12"/>
        <color rgb="FF143D8D"/>
        <rFont val="Swis721 Lt BT"/>
        <family val="2"/>
      </rPr>
      <t>p pondéré</t>
    </r>
    <r>
      <rPr>
        <sz val="12"/>
        <color rgb="FF143D8D"/>
        <rFont val="Swis721 Lt BT"/>
        <family val="2"/>
      </rPr>
      <t xml:space="preserve">) : </t>
    </r>
  </si>
  <si>
    <t xml:space="preserve">Choix de l'équation pour le calcul des intensités de précipitation (I) : </t>
  </si>
  <si>
    <t xml:space="preserve">Nom du projet : </t>
  </si>
  <si>
    <t xml:space="preserve">Numéro de projet : </t>
  </si>
  <si>
    <t>Les données pour déterminer les limites du bassin versant sont disponibles aux endroits suivants:</t>
  </si>
  <si>
    <t>Autres (s'il y a lieu) :</t>
  </si>
  <si>
    <t>Figure(s) :</t>
  </si>
  <si>
    <r>
      <t>Somme des aires considérées (km</t>
    </r>
    <r>
      <rPr>
        <vertAlign val="superscript"/>
        <sz val="10"/>
        <rFont val="Swis721 Lt BT"/>
        <family val="2"/>
      </rPr>
      <t>2</t>
    </r>
    <r>
      <rPr>
        <sz val="10"/>
        <rFont val="Swis721 Lt BT"/>
        <family val="2"/>
      </rPr>
      <t>)</t>
    </r>
  </si>
  <si>
    <t>-</t>
  </si>
  <si>
    <r>
      <rPr>
        <sz val="12"/>
        <rFont val="Swis721 Lt BT"/>
        <family val="2"/>
      </rPr>
      <t xml:space="preserve">Lien vers les courbes IDF:  </t>
    </r>
    <r>
      <rPr>
        <u/>
        <sz val="12"/>
        <color indexed="12"/>
        <rFont val="Swis721 Lt BT"/>
        <family val="2"/>
      </rPr>
      <t xml:space="preserve">https://collaboration.cmc.ec.gc.ca/cmc/climate/Engineer_Climate/IDF </t>
    </r>
  </si>
  <si>
    <r>
      <t xml:space="preserve">Les pourcentages de lacs et marécages sont calculés à partir des données saisies au </t>
    </r>
    <r>
      <rPr>
        <i/>
        <sz val="12"/>
        <rFont val="Swis721 Lt BT"/>
        <family val="2"/>
      </rPr>
      <t>tableau 2-2</t>
    </r>
    <r>
      <rPr>
        <sz val="12"/>
        <rFont val="Swis721 Lt BT"/>
        <family val="2"/>
      </rPr>
      <t xml:space="preserve">. Les lacs et marécages «personnalisés» sont également comptés. </t>
    </r>
  </si>
  <si>
    <t xml:space="preserve">Concepteur : </t>
  </si>
  <si>
    <t xml:space="preserve">Vérificateur : </t>
  </si>
  <si>
    <r>
      <t>F</t>
    </r>
    <r>
      <rPr>
        <vertAlign val="subscript"/>
        <sz val="12"/>
        <rFont val="Swis721 Lt BT"/>
        <family val="2"/>
      </rPr>
      <t>i</t>
    </r>
    <r>
      <rPr>
        <sz val="12"/>
        <rFont val="Swis721 Lt BT"/>
        <family val="2"/>
      </rPr>
      <t xml:space="preserve"> = 12,25t</t>
    </r>
    <r>
      <rPr>
        <vertAlign val="subscript"/>
        <sz val="12"/>
        <rFont val="Swis721 Lt BT"/>
        <family val="2"/>
      </rPr>
      <t>c</t>
    </r>
    <r>
      <rPr>
        <vertAlign val="superscript"/>
        <sz val="12"/>
        <rFont val="Swis721 Lt BT"/>
        <family val="2"/>
      </rPr>
      <t xml:space="preserve">-0,612 </t>
    </r>
    <r>
      <rPr>
        <sz val="12"/>
        <rFont val="Swis721 Lt BT"/>
        <family val="2"/>
      </rPr>
      <t xml:space="preserve">     pour 10 min </t>
    </r>
    <r>
      <rPr>
        <sz val="12"/>
        <rFont val="Calibri"/>
        <family val="2"/>
      </rPr>
      <t>≤</t>
    </r>
    <r>
      <rPr>
        <sz val="12"/>
        <rFont val="Swis721 Lt BT"/>
        <family val="2"/>
      </rPr>
      <t xml:space="preserve"> t</t>
    </r>
    <r>
      <rPr>
        <vertAlign val="subscript"/>
        <sz val="12"/>
        <rFont val="Swis721 Lt BT"/>
        <family val="2"/>
      </rPr>
      <t>c</t>
    </r>
    <r>
      <rPr>
        <sz val="12"/>
        <rFont val="Swis721 Lt BT"/>
        <family val="2"/>
      </rPr>
      <t xml:space="preserve"> </t>
    </r>
    <r>
      <rPr>
        <sz val="12"/>
        <rFont val="Calibri"/>
        <family val="2"/>
      </rPr>
      <t xml:space="preserve">≤ </t>
    </r>
    <r>
      <rPr>
        <sz val="12"/>
        <rFont val="Swis721 Lt BT"/>
        <family val="2"/>
      </rPr>
      <t>1 h</t>
    </r>
  </si>
  <si>
    <r>
      <t>Intervalle des courbes de niveau (Int</t>
    </r>
    <r>
      <rPr>
        <vertAlign val="subscript"/>
        <sz val="12"/>
        <rFont val="Swis721 Lt BT"/>
        <family val="2"/>
      </rPr>
      <t>c</t>
    </r>
    <r>
      <rPr>
        <sz val="12"/>
        <rFont val="Swis721 Lt BT"/>
        <family val="2"/>
      </rPr>
      <t>)(m)</t>
    </r>
  </si>
  <si>
    <r>
      <t>L'équation à utiliser pour le calcul du temps de concentration (t</t>
    </r>
    <r>
      <rPr>
        <vertAlign val="subscript"/>
        <sz val="12"/>
        <rFont val="Swis721 Lt BT"/>
        <family val="2"/>
      </rPr>
      <t>c</t>
    </r>
    <r>
      <rPr>
        <sz val="12"/>
        <rFont val="Swis721 Lt BT"/>
        <family val="2"/>
      </rPr>
      <t>) varie selon la valeur du coefficient de ruissellement de pointe pondéré du bassin versant (C</t>
    </r>
    <r>
      <rPr>
        <vertAlign val="subscript"/>
        <sz val="12"/>
        <rFont val="Swis721 Lt BT"/>
        <family val="2"/>
      </rPr>
      <t>p pondéré</t>
    </r>
    <r>
      <rPr>
        <sz val="12"/>
        <rFont val="Swis721 Lt BT"/>
        <family val="2"/>
      </rPr>
      <t>).</t>
    </r>
  </si>
  <si>
    <r>
      <t>N</t>
    </r>
    <r>
      <rPr>
        <vertAlign val="superscript"/>
        <sz val="12"/>
        <color rgb="FF143D8D"/>
        <rFont val="Swis721 Lt BT"/>
        <family val="2"/>
      </rPr>
      <t>o</t>
    </r>
    <r>
      <rPr>
        <sz val="12"/>
        <color rgb="FF143D8D"/>
        <rFont val="Swis721 Lt BT"/>
        <family val="2"/>
      </rPr>
      <t xml:space="preserve"> de la ligne</t>
    </r>
  </si>
  <si>
    <t xml:space="preserve">Signature - Date : </t>
  </si>
  <si>
    <t>La pente moyenne du bassin versant se calcule avec l'équation suivante. Il est important de vérifier qu'il y a un nombre suffisant de lignes qui touchent aux courbes de niveau. Si ce n'est pas le cas, il faut faire un maillage plus fin.</t>
  </si>
  <si>
    <r>
      <t>S</t>
    </r>
    <r>
      <rPr>
        <vertAlign val="subscript"/>
        <sz val="12"/>
        <rFont val="Swis721 Lt BT"/>
        <family val="2"/>
      </rPr>
      <t>b</t>
    </r>
    <r>
      <rPr>
        <sz val="12"/>
        <rFont val="Swis721 Lt BT"/>
        <family val="2"/>
      </rPr>
      <t xml:space="preserve"> : pente moyenne du bassin versant (m/m)</t>
    </r>
  </si>
  <si>
    <r>
      <t>La pente «85-10» du cours d'eau principal (S</t>
    </r>
    <r>
      <rPr>
        <vertAlign val="subscript"/>
        <sz val="12"/>
        <rFont val="Swis721 Lt BT"/>
        <family val="2"/>
      </rPr>
      <t>c</t>
    </r>
    <r>
      <rPr>
        <sz val="12"/>
        <rFont val="Swis721 Lt BT"/>
        <family val="2"/>
      </rPr>
      <t>) se calcule avec l'équation suivante:</t>
    </r>
  </si>
  <si>
    <r>
      <t>I</t>
    </r>
    <r>
      <rPr>
        <vertAlign val="subscript"/>
        <sz val="10"/>
        <rFont val="Swis721 Lt BT"/>
        <family val="2"/>
      </rPr>
      <t>25,60</t>
    </r>
    <r>
      <rPr>
        <sz val="10"/>
        <rFont val="Swis721 Lt BT"/>
        <family val="2"/>
      </rPr>
      <t xml:space="preserve"> (mm/h)</t>
    </r>
  </si>
  <si>
    <t>Nombre d'années total d'enregistrement</t>
  </si>
  <si>
    <t>Pourcentage de lacs et marécages (%) :</t>
  </si>
  <si>
    <r>
      <t>2.2 - Calcul du coefficient de ruissellement de pointe pondéré (C</t>
    </r>
    <r>
      <rPr>
        <b/>
        <vertAlign val="subscript"/>
        <sz val="12"/>
        <rFont val="Swis721 Cn BT"/>
        <family val="2"/>
      </rPr>
      <t>p pondéré</t>
    </r>
    <r>
      <rPr>
        <b/>
        <sz val="12"/>
        <rFont val="Swis721 Cn BT"/>
        <family val="2"/>
      </rPr>
      <t>)</t>
    </r>
  </si>
  <si>
    <r>
      <t>3.3.3 - Intensité de précipitation (mm/h) d'une durée d'une heure et d'une période de retour de 25 ans (I</t>
    </r>
    <r>
      <rPr>
        <b/>
        <vertAlign val="subscript"/>
        <sz val="12"/>
        <rFont val="Swis721 Cn BT"/>
        <family val="2"/>
      </rPr>
      <t>25,60</t>
    </r>
    <r>
      <rPr>
        <b/>
        <sz val="12"/>
        <rFont val="Swis721 Cn BT"/>
        <family val="2"/>
      </rPr>
      <t>)</t>
    </r>
  </si>
  <si>
    <r>
      <t>4 - LAMINAGE PAR LES LACS ET MARÉCAGES (F</t>
    </r>
    <r>
      <rPr>
        <b/>
        <vertAlign val="subscript"/>
        <sz val="12"/>
        <rFont val="Swis721 Cn BT"/>
        <family val="2"/>
      </rPr>
      <t>L</t>
    </r>
    <r>
      <rPr>
        <b/>
        <sz val="12"/>
        <rFont val="Swis721 Cn BT"/>
        <family val="2"/>
      </rPr>
      <t>) - Section 3.6 du Manuel de conception des ponceaux</t>
    </r>
  </si>
  <si>
    <t>FIGURES ET NOTES</t>
  </si>
  <si>
    <r>
      <t>Élévation du point situé à 85% de la longueur depuis l'aval (Z</t>
    </r>
    <r>
      <rPr>
        <b/>
        <vertAlign val="subscript"/>
        <sz val="12"/>
        <rFont val="Swis721 Lt BT"/>
        <family val="2"/>
      </rPr>
      <t>85</t>
    </r>
    <r>
      <rPr>
        <b/>
        <sz val="12"/>
        <rFont val="Swis721 Lt BT"/>
        <family val="2"/>
      </rPr>
      <t>) (m) :</t>
    </r>
  </si>
  <si>
    <r>
      <t>Élévation du point situé à 10% de la longueur depuis l'aval (Z</t>
    </r>
    <r>
      <rPr>
        <b/>
        <vertAlign val="subscript"/>
        <sz val="12"/>
        <rFont val="Swis721 Lt BT"/>
        <family val="2"/>
      </rPr>
      <t>10</t>
    </r>
    <r>
      <rPr>
        <b/>
        <sz val="12"/>
        <rFont val="Swis721 Lt BT"/>
        <family val="2"/>
      </rPr>
      <t>) (m) :</t>
    </r>
  </si>
  <si>
    <r>
      <t>Longueur du cours d'eau principal (L</t>
    </r>
    <r>
      <rPr>
        <vertAlign val="subscript"/>
        <sz val="12"/>
        <color rgb="FF143D8D"/>
        <rFont val="Swis721 Lt BT"/>
        <family val="2"/>
      </rPr>
      <t>c</t>
    </r>
    <r>
      <rPr>
        <sz val="12"/>
        <color rgb="FF143D8D"/>
        <rFont val="Swis721 Lt BT"/>
        <family val="2"/>
      </rPr>
      <t>) (m):</t>
    </r>
  </si>
  <si>
    <r>
      <t>Pente 85-10 du cours d'eau (S</t>
    </r>
    <r>
      <rPr>
        <vertAlign val="subscript"/>
        <sz val="12"/>
        <color rgb="FF143D8D"/>
        <rFont val="Swis721 Lt BT"/>
        <family val="2"/>
      </rPr>
      <t>c</t>
    </r>
    <r>
      <rPr>
        <sz val="12"/>
        <color rgb="FF143D8D"/>
        <rFont val="Swis721 Lt BT"/>
        <family val="2"/>
      </rPr>
      <t xml:space="preserve">) (%) : </t>
    </r>
  </si>
  <si>
    <r>
      <t>Superficie du bassin versant (A</t>
    </r>
    <r>
      <rPr>
        <vertAlign val="subscript"/>
        <sz val="12"/>
        <color rgb="FF143D8D"/>
        <rFont val="Swis721 Lt BT"/>
        <family val="2"/>
      </rPr>
      <t>b</t>
    </r>
    <r>
      <rPr>
        <sz val="12"/>
        <color rgb="FF143D8D"/>
        <rFont val="Swis721 Lt BT"/>
        <family val="2"/>
      </rPr>
      <t>) (km</t>
    </r>
    <r>
      <rPr>
        <vertAlign val="superscript"/>
        <sz val="12"/>
        <color rgb="FF143D8D"/>
        <rFont val="Swis721 Lt BT"/>
        <family val="2"/>
      </rPr>
      <t>2</t>
    </r>
    <r>
      <rPr>
        <sz val="12"/>
        <color rgb="FF143D8D"/>
        <rFont val="Swis721 Lt BT"/>
        <family val="2"/>
      </rPr>
      <t>) :</t>
    </r>
  </si>
  <si>
    <r>
      <t>Temps de concentration (t</t>
    </r>
    <r>
      <rPr>
        <vertAlign val="subscript"/>
        <sz val="12"/>
        <color rgb="FF143D8D"/>
        <rFont val="Swis721 Lt BT"/>
        <family val="2"/>
      </rPr>
      <t>c</t>
    </r>
    <r>
      <rPr>
        <sz val="12"/>
        <color rgb="FF143D8D"/>
        <rFont val="Swis721 Lt BT"/>
        <family val="2"/>
      </rPr>
      <t>) (minutes) :</t>
    </r>
  </si>
  <si>
    <t>Tableau - Sommaire des débits (Q)</t>
  </si>
  <si>
    <t>Cₚ &lt; 0,40</t>
  </si>
  <si>
    <t>Cₚ ≥ 0,40</t>
  </si>
  <si>
    <t>Autre équation</t>
  </si>
  <si>
    <t>VERSION 1.0</t>
  </si>
  <si>
    <t>Titre de la figure:</t>
  </si>
  <si>
    <t>3.3.2 - Données d'une station pluviométrique personnalisée (facultatif)</t>
  </si>
  <si>
    <r>
      <t>Tableau 3-4 - Calcul de l'intensité de précipitation (I</t>
    </r>
    <r>
      <rPr>
        <i/>
        <vertAlign val="subscript"/>
        <sz val="12"/>
        <rFont val="Swis721 Cn BT"/>
        <family val="2"/>
      </rPr>
      <t>tc</t>
    </r>
    <r>
      <rPr>
        <i/>
        <sz val="12"/>
        <rFont val="Swis721 Cn BT"/>
        <family val="2"/>
      </rPr>
      <t>) (mm/h) en fonction du temps de concentration pour les différentes périodes de retour de conception selon les différentes équations</t>
    </r>
  </si>
  <si>
    <t>Cette section peut être remplie pour une station qui n'est pas présente dans les cinq choix de station à la section 3.3.1.</t>
  </si>
  <si>
    <t>Tableau 3-2 - Informations sur les 5 stations pluviométriques les plus proches du site, en ordre croissant de distance</t>
  </si>
  <si>
    <r>
      <t>Longueur de la ligne (L</t>
    </r>
    <r>
      <rPr>
        <vertAlign val="subscript"/>
        <sz val="10"/>
        <color rgb="FF143D8D"/>
        <rFont val="Swis721 Lt BT"/>
        <family val="2"/>
      </rPr>
      <t>h</t>
    </r>
    <r>
      <rPr>
        <sz val="10"/>
        <color rgb="FF143D8D"/>
        <rFont val="Swis721 Lt BT"/>
        <family val="2"/>
      </rPr>
      <t>) (m)</t>
    </r>
  </si>
  <si>
    <r>
      <t>Longueur de la ligne (L</t>
    </r>
    <r>
      <rPr>
        <vertAlign val="subscript"/>
        <sz val="10"/>
        <color rgb="FF143D8D"/>
        <rFont val="Swis721 Lt BT"/>
        <family val="2"/>
      </rPr>
      <t>v</t>
    </r>
    <r>
      <rPr>
        <sz val="10"/>
        <color rgb="FF143D8D"/>
        <rFont val="Swis721 Lt BT"/>
        <family val="2"/>
      </rPr>
      <t>) (m)</t>
    </r>
  </si>
  <si>
    <t>Équations de régression</t>
  </si>
  <si>
    <r>
      <t>Classe de pente (S</t>
    </r>
    <r>
      <rPr>
        <vertAlign val="subscript"/>
        <sz val="12"/>
        <rFont val="Swis721 Lt BT"/>
        <family val="2"/>
      </rPr>
      <t>b</t>
    </r>
    <r>
      <rPr>
        <sz val="12"/>
        <rFont val="Swis721 Lt BT"/>
        <family val="2"/>
      </rPr>
      <t>) selon le calcul de la section 2.1 :</t>
    </r>
  </si>
  <si>
    <t>Les intensités de précipitation (I) peuvent être calculées directement avec les équations de régression à 2 paramètres (ab/ac) ou à 3 paramètres (abc), ou estimées en utilisant les équations suivantes :</t>
  </si>
  <si>
    <t>2 paramètres</t>
  </si>
  <si>
    <t>3 paramètres</t>
  </si>
  <si>
    <r>
      <t>F</t>
    </r>
    <r>
      <rPr>
        <vertAlign val="subscript"/>
        <sz val="12"/>
        <color rgb="FF143D8D"/>
        <rFont val="Swis721 Lt BT"/>
        <family val="2"/>
      </rPr>
      <t>q</t>
    </r>
    <r>
      <rPr>
        <sz val="12"/>
        <color rgb="FF143D8D"/>
        <rFont val="Swis721 Lt BT"/>
        <family val="2"/>
      </rPr>
      <t xml:space="preserve"> &amp; F</t>
    </r>
    <r>
      <rPr>
        <vertAlign val="subscript"/>
        <sz val="12"/>
        <color rgb="FF143D8D"/>
        <rFont val="Swis721 Lt BT"/>
        <family val="2"/>
      </rPr>
      <t>i</t>
    </r>
  </si>
  <si>
    <r>
      <t xml:space="preserve">Dans le cas des stations d'Environnement Canada, les valeurs de la variable </t>
    </r>
    <r>
      <rPr>
        <b/>
        <sz val="11"/>
        <rFont val="Swis721 Lt BT"/>
        <family val="2"/>
      </rPr>
      <t>« a » sont généralement &lt; 100</t>
    </r>
    <r>
      <rPr>
        <sz val="11"/>
        <rFont val="Swis721 Lt BT"/>
        <family val="2"/>
      </rPr>
      <t xml:space="preserve"> et les valeurs de l'exposant </t>
    </r>
    <r>
      <rPr>
        <b/>
        <sz val="11"/>
        <rFont val="Swis721 Lt BT"/>
        <family val="2"/>
      </rPr>
      <t>« b » sont toujours &lt; 0</t>
    </r>
    <r>
      <rPr>
        <sz val="11"/>
        <rFont val="Swis721 Lt BT"/>
        <family val="2"/>
      </rPr>
      <t>.</t>
    </r>
  </si>
  <si>
    <t>3 paramètres:</t>
  </si>
  <si>
    <t>2 paramètres:</t>
  </si>
  <si>
    <r>
      <t>La forme des équations de régression pour les courbes IDF pour ces stations est soit à 2 paramètres soit à 3 paramètres.</t>
    </r>
    <r>
      <rPr>
        <b/>
        <sz val="11"/>
        <rFont val="Swis721 Lt BT"/>
        <family val="2"/>
      </rPr>
      <t xml:space="preserve"> Il est important de noter que</t>
    </r>
  </si>
  <si>
    <r>
      <rPr>
        <b/>
        <sz val="11"/>
        <rFont val="Swis721 Lt BT"/>
        <family val="2"/>
      </rPr>
      <t>la variable « b » fait toujours office d'exposant</t>
    </r>
    <r>
      <rPr>
        <sz val="11"/>
        <rFont val="Swis721 Lt BT"/>
        <family val="2"/>
      </rPr>
      <t xml:space="preserve"> dans les stations d'Environnement Canada.</t>
    </r>
  </si>
  <si>
    <t>Référence 2 (suite)</t>
  </si>
  <si>
    <t>Autres stations pluviométriques (temps en minutes)</t>
  </si>
  <si>
    <r>
      <t xml:space="preserve">Certaines villes, MRC, ou organisations détiennent une station pluviométrique. Il arrive </t>
    </r>
    <r>
      <rPr>
        <b/>
        <sz val="11"/>
        <rFont val="Swis721 Lt BT"/>
        <family val="2"/>
      </rPr>
      <t>parfois</t>
    </r>
    <r>
      <rPr>
        <sz val="11"/>
        <rFont val="Swis721 Lt BT"/>
        <family val="2"/>
      </rPr>
      <t xml:space="preserve"> que les courbes IDF soient exprimées avec le </t>
    </r>
    <r>
      <rPr>
        <b/>
        <u/>
        <sz val="11"/>
        <rFont val="Swis721 Lt BT"/>
        <family val="2"/>
      </rPr>
      <t>temps (t) en minutes</t>
    </r>
    <r>
      <rPr>
        <sz val="11"/>
        <rFont val="Swis721 Lt BT"/>
        <family val="2"/>
      </rPr>
      <t>.</t>
    </r>
  </si>
  <si>
    <t>L'utilisateur n'a donc pas besoin de faire la conversion.</t>
  </si>
  <si>
    <t xml:space="preserve">Il est important de noter que bien que le temps de concentration soit affiché en minutes dans la section 3.2, la feuille Excel s'occupe de convertir la valeur en heures. </t>
  </si>
  <si>
    <r>
      <t xml:space="preserve">Dans ces équations, les valeurs de la </t>
    </r>
    <r>
      <rPr>
        <b/>
        <sz val="11"/>
        <rFont val="Swis721 Lt BT"/>
        <family val="2"/>
      </rPr>
      <t>variable « a » sont généralement &gt; 100</t>
    </r>
    <r>
      <rPr>
        <sz val="11"/>
        <rFont val="Swis721 Lt BT"/>
        <family val="2"/>
      </rPr>
      <t xml:space="preserve">. Aussi, c'est la </t>
    </r>
    <r>
      <rPr>
        <b/>
        <sz val="11"/>
        <rFont val="Swis721 Lt BT"/>
        <family val="2"/>
      </rPr>
      <t xml:space="preserve">variable « c » qui est en exposant et </t>
    </r>
    <r>
      <rPr>
        <b/>
        <u/>
        <sz val="11"/>
        <rFont val="Swis721 Lt BT"/>
        <family val="2"/>
      </rPr>
      <t>non pas la variable « b »</t>
    </r>
    <r>
      <rPr>
        <b/>
        <sz val="11"/>
        <rFont val="Swis721 Lt BT"/>
        <family val="2"/>
      </rPr>
      <t xml:space="preserve"> </t>
    </r>
  </si>
  <si>
    <r>
      <t>Pour les courbes IDF d'Environnement Canada</t>
    </r>
    <r>
      <rPr>
        <b/>
        <sz val="11"/>
        <rFont val="Swis721 Lt BT"/>
        <family val="2"/>
      </rPr>
      <t>,</t>
    </r>
    <r>
      <rPr>
        <sz val="11"/>
        <rFont val="Swis721 Lt BT"/>
        <family val="2"/>
      </rPr>
      <t xml:space="preserve"> le temps (t) dans l'équation est exprimé </t>
    </r>
    <r>
      <rPr>
        <b/>
        <u/>
        <sz val="11"/>
        <rFont val="Swis721 Lt BT"/>
        <family val="2"/>
      </rPr>
      <t>en heures</t>
    </r>
    <r>
      <rPr>
        <sz val="11"/>
        <rFont val="Swis721 Lt BT"/>
        <family val="2"/>
      </rPr>
      <t>.</t>
    </r>
  </si>
  <si>
    <t>Référence 4</t>
  </si>
  <si>
    <r>
      <t xml:space="preserve">contrairement aux stations d'Environnement Canada. Aussi, l'exposant </t>
    </r>
    <r>
      <rPr>
        <b/>
        <sz val="11"/>
        <rFont val="Swis721 Lt BT"/>
        <family val="2"/>
      </rPr>
      <t xml:space="preserve">« c » est toujours &gt; 0 </t>
    </r>
    <r>
      <rPr>
        <sz val="11"/>
        <rFont val="Swis721 Lt BT"/>
        <family val="2"/>
      </rPr>
      <t>puisque le temps est au dénominateur.</t>
    </r>
  </si>
  <si>
    <t>Stations pluviométriques d'Environnement Canada (temps en heures)</t>
  </si>
  <si>
    <t>Les courbes IDF des stations hydrométriques sont parfois exprimées avec le temps (t) en heures et parfois en minutes. Ainsi, les valeurs des paramètres a, b et c</t>
  </si>
  <si>
    <t>diffèrent en fonction de l'unité choisie lors du paramétrage de la courbe IDF. Également, la forme de l'équation est également différente lorsque le temps est en minutes</t>
  </si>
  <si>
    <t>Unités de la variable temps (t) de l'équation de la courbe IDF:</t>
  </si>
  <si>
    <r>
      <t xml:space="preserve">3.3.3 - Intensité de précipitation (mm/h) d'une durée d'une heure et d'une période de retour de 25 ans (I </t>
    </r>
    <r>
      <rPr>
        <b/>
        <vertAlign val="subscript"/>
        <sz val="12"/>
        <rFont val="Swis721 Cn BT"/>
        <family val="2"/>
      </rPr>
      <t>25,60</t>
    </r>
    <r>
      <rPr>
        <b/>
        <sz val="14"/>
        <rFont val="Swis721 Cn BT"/>
        <family val="2"/>
      </rPr>
      <t>) (facultatif)</t>
    </r>
  </si>
  <si>
    <r>
      <t xml:space="preserve">Note : Les données des stations inscrites dans ce fichier sont issues des courbes IDF 2024 d' </t>
    </r>
    <r>
      <rPr>
        <i/>
        <sz val="12"/>
        <rFont val="Swis721 Lt BT"/>
        <family val="2"/>
      </rPr>
      <t>Environnement Canada</t>
    </r>
    <r>
      <rPr>
        <sz val="12"/>
        <rFont val="Swis721 Lt BT"/>
        <family val="2"/>
      </rPr>
      <t xml:space="preserve"> qui ne sont pas encore disponibles en ligne.</t>
    </r>
  </si>
  <si>
    <r>
      <t>3.3.5 - Calcul de l'intensité des précipitations pour le temps de concentration (I</t>
    </r>
    <r>
      <rPr>
        <b/>
        <vertAlign val="subscript"/>
        <sz val="14"/>
        <rFont val="Swis721 Cn BT"/>
        <family val="2"/>
      </rPr>
      <t>t</t>
    </r>
    <r>
      <rPr>
        <b/>
        <vertAlign val="subscript"/>
        <sz val="10"/>
        <rFont val="Swis721 Cn BT"/>
        <family val="2"/>
      </rPr>
      <t>c</t>
    </r>
    <r>
      <rPr>
        <b/>
        <sz val="14"/>
        <rFont val="Swis721 Cn BT"/>
        <family val="2"/>
      </rPr>
      <t>)</t>
    </r>
  </si>
  <si>
    <r>
      <t>3.3.4 - Calcul du coefficient F</t>
    </r>
    <r>
      <rPr>
        <b/>
        <vertAlign val="subscript"/>
        <sz val="14"/>
        <rFont val="Swis721 Cn BT"/>
        <family val="2"/>
      </rPr>
      <t>i</t>
    </r>
  </si>
  <si>
    <t>Latitude (degrés décimaux) :</t>
  </si>
  <si>
    <t>Longitude (degrés décimaux) :</t>
  </si>
  <si>
    <t>Distance à 10% depuis l'aval (m) :</t>
  </si>
  <si>
    <t>Distance à 85% depuis l'aval (m) :</t>
  </si>
  <si>
    <r>
      <t>F</t>
    </r>
    <r>
      <rPr>
        <vertAlign val="subscript"/>
        <sz val="12"/>
        <rFont val="Swis721 Lt BT"/>
        <family val="2"/>
      </rPr>
      <t>i</t>
    </r>
    <r>
      <rPr>
        <sz val="12"/>
        <rFont val="Swis721 Lt BT"/>
        <family val="2"/>
      </rPr>
      <t xml:space="preserve"> = Coefficient de conversion l'intensité (pour t</t>
    </r>
    <r>
      <rPr>
        <vertAlign val="subscript"/>
        <sz val="10"/>
        <rFont val="Swis721 Lt BT"/>
        <family val="2"/>
      </rPr>
      <t>c</t>
    </r>
    <r>
      <rPr>
        <sz val="12"/>
        <rFont val="Swis721 Lt BT"/>
        <family val="2"/>
      </rPr>
      <t xml:space="preserve"> en minutes)</t>
    </r>
  </si>
  <si>
    <t xml:space="preserve">ou en heures. Cette section étaye les différences entre les courbes IDF en heures, généralement produites par Environnement Canada, ainsi que celles en minutes, </t>
  </si>
  <si>
    <t>généralement produites par les villes, MRC et autres organisations.</t>
  </si>
  <si>
    <t>Pourquoi Environnement Canada publie seulement les courbes à 2 paramètres?</t>
  </si>
  <si>
    <t>Bien que cette feuille de calcul permet de comparer les courbes IDF à 2 et à 3 paramètres d'Environnement Canada, il n'ait pas d'usage pour EC de publier les courbes</t>
  </si>
  <si>
    <t>à 3 paramètres et il est important de comprendre la raison.</t>
  </si>
  <si>
    <t xml:space="preserve">compenser en partie pour cet élément. Toutefois, pour les précipitations d'une durée d'environ 60 minutes, les courbes à 2 paramètres ont généralement tendance à </t>
  </si>
  <si>
    <t xml:space="preserve">sous-estimer les valeurs d'intensité de précipitation, ce qui n'est pas le cas pour l'équation à 3 paramètres.  Il est donc intéressant pour le concepteur d'avoir accès </t>
  </si>
  <si>
    <t xml:space="preserve">aux paramètres des deux équations pour pouvoir prendre la plus adaptée au temps de concentration du bassin. Effectivement, l'écart entre les observations et les </t>
  </si>
  <si>
    <t>courbes peut être de plus de 10 mm/h. La figure ci-dessous est extraite des courbes IDF transmises par Environnement Canada. Il est possible de voir l'écart entre</t>
  </si>
  <si>
    <t>l'équation à 2 paramètres (lignes pointillées) et l'équation à 3 paramètres (lignes pleines). Cet écart est d'environ 10 mm/h pour la durée 60 minutes.</t>
  </si>
  <si>
    <t>Il est connu que les pluviomètres sous-estiment les taux de précipitation les précipitations les plus intenses (les plus courtes). La fonction à 2 paramètres permet de</t>
  </si>
  <si>
    <t>Ministère des Transports et de la Mobilité durable</t>
  </si>
  <si>
    <r>
      <t xml:space="preserve">Cette feuille de calcul a été conçue par la </t>
    </r>
    <r>
      <rPr>
        <b/>
        <sz val="10"/>
        <color rgb="FF143D8D"/>
        <rFont val="Swis721 Lt BT"/>
        <family val="2"/>
      </rPr>
      <t>Direction générale des structures</t>
    </r>
    <r>
      <rPr>
        <sz val="10"/>
        <rFont val="Swis721 Lt BT"/>
        <family val="2"/>
      </rPr>
      <t xml:space="preserve"> du </t>
    </r>
    <r>
      <rPr>
        <b/>
        <sz val="10"/>
        <color rgb="FF143D8D"/>
        <rFont val="Swis721 Lt BT"/>
        <family val="2"/>
      </rPr>
      <t>ministère des Transports et de la Mobilité durable du Québec</t>
    </r>
    <r>
      <rPr>
        <sz val="10"/>
        <rFont val="Swis721 Lt BT"/>
        <family val="2"/>
      </rPr>
      <t xml:space="preserve">. </t>
    </r>
  </si>
  <si>
    <t>Elle est conforme aux recommandations du Manuel de conception des ponceaux (2024), auquel l'utilistateur devra se référer pour obtenir de plus amples renseignements.</t>
  </si>
  <si>
    <t>Cette feuille de calcul a été conçue spécifiquement pour effectuer l’évaluation de l’hydrologie de petits bassins versants selon la méthode rationnelle. Elle ne peut en aucun cas se substituer au bon jugement d’un ingénieur qualifié. L’interprétation des résultats doit donc être supervisée par un tel ingénieur. Les concepteurs de cette feuille de calcul se détachent de toute responsabilité quant à l’obtention de résultats erronés à la suite d’une mauvaise utilisation de cette feuille de calcul.</t>
  </si>
  <si>
    <t>Toute reproduction de la présente feuille, en tout ou en partie, est interdite sans l’autorisation écrite du ministère des Transports et de la Mobilité durable.</t>
  </si>
  <si>
    <r>
      <rPr>
        <sz val="10"/>
        <rFont val="Swis721 Lt BT"/>
        <family val="2"/>
      </rPr>
      <t>Pour acheminer des commentaires ou communiquer des problèmes rencontrés avec la présente feuille, écrire à la boîte de demande de la Direction (</t>
    </r>
    <r>
      <rPr>
        <u/>
        <sz val="10"/>
        <color indexed="12"/>
        <rFont val="Arial"/>
        <family val="2"/>
      </rPr>
      <t>soutien.dh@transports.gouv.qc.ca</t>
    </r>
    <r>
      <rPr>
        <sz val="10"/>
        <rFont val="Arial"/>
        <family val="2"/>
      </rPr>
      <t>).</t>
    </r>
  </si>
  <si>
    <t>Le Ministère se réserve le droit d'effectuer des modifications sans préavis à cette feuille de calcul.</t>
  </si>
  <si>
    <t>NOTE DE CALCUL – HYDROLOGIE – MÉTHODE RATIONNELLE</t>
  </si>
  <si>
    <r>
      <t>1 - SUPERFICIE DU BASSIN VERSANT (A</t>
    </r>
    <r>
      <rPr>
        <b/>
        <vertAlign val="subscript"/>
        <sz val="14"/>
        <color rgb="FF143D8D"/>
        <rFont val="Swis721 Cn BT"/>
        <family val="2"/>
      </rPr>
      <t>b</t>
    </r>
    <r>
      <rPr>
        <b/>
        <sz val="16"/>
        <color rgb="FF143D8D"/>
        <rFont val="Swis721 Cn BT"/>
        <family val="2"/>
      </rPr>
      <t>) – Section 3.3 du Manuel de conception des ponceaux</t>
    </r>
  </si>
  <si>
    <r>
      <t>2 - COEFFICIENT DE RUISSELLEMENT (C</t>
    </r>
    <r>
      <rPr>
        <b/>
        <vertAlign val="subscript"/>
        <sz val="16"/>
        <color rgb="FF143D8D"/>
        <rFont val="Swis721 Cn BT"/>
        <family val="2"/>
      </rPr>
      <t>p</t>
    </r>
    <r>
      <rPr>
        <b/>
        <sz val="16"/>
        <color rgb="FF143D8D"/>
        <rFont val="Swis721 Cn BT"/>
        <family val="2"/>
      </rPr>
      <t>) – Section 3.4 du Manuel de conception des ponceaux</t>
    </r>
  </si>
  <si>
    <t>Les informations sur les types de sols et l'occupation du territoire versant se trouvent aux endroits suivants:</t>
  </si>
  <si>
    <r>
      <rPr>
        <sz val="11"/>
        <rFont val="Swis721 Lt BT"/>
        <family val="2"/>
      </rPr>
      <t>Dépôts de surface (vectoriel) :</t>
    </r>
    <r>
      <rPr>
        <u/>
        <sz val="11"/>
        <color indexed="12"/>
        <rFont val="Swis721 Lt BT"/>
        <family val="2"/>
      </rPr>
      <t xml:space="preserve"> https://www.quebec.ca/agriculture-environnement-et-ressources-naturelles/forets/recherche-connaissances/inventaire-forestier/donnees-cartes-resultats</t>
    </r>
  </si>
  <si>
    <r>
      <rPr>
        <sz val="11"/>
        <rFont val="Swis721 Lt BT"/>
        <family val="2"/>
      </rPr>
      <t xml:space="preserve">Dépôts de surface (matriciel) : </t>
    </r>
    <r>
      <rPr>
        <u/>
        <sz val="11"/>
        <color indexed="12"/>
        <rFont val="Swis721 Lt BT"/>
        <family val="2"/>
      </rPr>
      <t>https://www.donneesquebec.ca/recherche/fr/dataset/depots-de-surface</t>
    </r>
  </si>
  <si>
    <r>
      <rPr>
        <sz val="11"/>
        <rFont val="Swis721 Lt BT"/>
        <family val="2"/>
      </rPr>
      <t>Pédologie IRDA :</t>
    </r>
    <r>
      <rPr>
        <u/>
        <sz val="11"/>
        <color indexed="12"/>
        <rFont val="Swis721 Lt BT"/>
        <family val="2"/>
      </rPr>
      <t xml:space="preserve"> https://www.irda.qc.ca/fr/services/protection-ressources/sante-sols/information-sols/etudes-pedologiques/  </t>
    </r>
  </si>
  <si>
    <t>3 - INTENSITÉ DE PRÉCIPITATION (I) – Section 3.5 du Manuel de conception des ponceaux</t>
  </si>
  <si>
    <r>
      <t>Note : Pour faire le calcul de l'intensité de précipitation à l'aide de la valeur I</t>
    </r>
    <r>
      <rPr>
        <vertAlign val="subscript"/>
        <sz val="10"/>
        <rFont val="Swis721 Lt BT"/>
        <family val="2"/>
      </rPr>
      <t>25,60</t>
    </r>
    <r>
      <rPr>
        <sz val="10"/>
        <rFont val="Swis721 Lt BT"/>
        <family val="2"/>
      </rPr>
      <t xml:space="preserve"> de la station personnalisée, il est possible de l'indiquer dans la section 3.3.3.</t>
    </r>
  </si>
  <si>
    <r>
      <t>La valeur de l' I</t>
    </r>
    <r>
      <rPr>
        <vertAlign val="subscript"/>
        <sz val="12"/>
        <rFont val="Swis721 Lt BT"/>
        <family val="2"/>
      </rPr>
      <t>25,60</t>
    </r>
    <r>
      <rPr>
        <sz val="12"/>
        <rFont val="Swis721 Lt BT"/>
        <family val="2"/>
      </rPr>
      <t xml:space="preserve"> est généralement récupérée sur la carte de la figure 3.5 -2 </t>
    </r>
    <r>
      <rPr>
        <i/>
        <sz val="12"/>
        <rFont val="Swis721 Lt BT"/>
        <family val="2"/>
      </rPr>
      <t>Isohyètes de la précipitation totale d'une heure et d'une période de retour de 25 ans (mm/h) (I</t>
    </r>
    <r>
      <rPr>
        <i/>
        <vertAlign val="subscript"/>
        <sz val="12"/>
        <rFont val="Swis721 Lt BT"/>
        <family val="2"/>
      </rPr>
      <t>25,60</t>
    </r>
    <r>
      <rPr>
        <i/>
        <sz val="12"/>
        <rFont val="Swis721 Lt BT"/>
        <family val="2"/>
      </rPr>
      <t>)</t>
    </r>
    <r>
      <rPr>
        <sz val="12"/>
        <rFont val="Swis721 Lt BT"/>
        <family val="2"/>
      </rPr>
      <t xml:space="preserve"> du</t>
    </r>
    <r>
      <rPr>
        <i/>
        <sz val="12"/>
        <rFont val="Swis721 Lt BT"/>
        <family val="2"/>
      </rPr>
      <t xml:space="preserve"> Manuel de conception des ponceaux</t>
    </r>
    <r>
      <rPr>
        <sz val="12"/>
        <rFont val="Swis721 Lt BT"/>
        <family val="2"/>
      </rPr>
      <t>, mais elle peut également être tirée des données IDF d'une station pluviométrique.</t>
    </r>
  </si>
  <si>
    <t>Provenance de la donnée :</t>
  </si>
  <si>
    <r>
      <t xml:space="preserve">Voir le tableau 3.7-1 du </t>
    </r>
    <r>
      <rPr>
        <i/>
        <sz val="12"/>
        <rFont val="Swis721 Lt BT"/>
        <family val="2"/>
      </rPr>
      <t>Manuel de conception des ponceaux</t>
    </r>
  </si>
  <si>
    <r>
      <t>4 - LAMINAGE PAR LES LACS ET MARÉCAGES (F</t>
    </r>
    <r>
      <rPr>
        <b/>
        <vertAlign val="subscript"/>
        <sz val="16"/>
        <color rgb="FF143D8D"/>
        <rFont val="Swis721 Lt BT"/>
        <family val="2"/>
      </rPr>
      <t>L</t>
    </r>
    <r>
      <rPr>
        <b/>
        <sz val="16"/>
        <color rgb="FF143D8D"/>
        <rFont val="Swis721 Lt BT"/>
        <family val="2"/>
      </rPr>
      <t>)</t>
    </r>
    <r>
      <rPr>
        <b/>
        <sz val="16"/>
        <color rgb="FF143D8D"/>
        <rFont val="Swis721 Cn BT"/>
        <family val="2"/>
      </rPr>
      <t xml:space="preserve"> – Section 3.6 du </t>
    </r>
    <r>
      <rPr>
        <b/>
        <i/>
        <sz val="16"/>
        <color rgb="FF143D8D"/>
        <rFont val="Swis721 Cn BT"/>
        <family val="2"/>
      </rPr>
      <t>Manuel de conception des ponceaux</t>
    </r>
  </si>
  <si>
    <r>
      <t>Le coefficient de laminage (F</t>
    </r>
    <r>
      <rPr>
        <vertAlign val="subscript"/>
        <sz val="12"/>
        <rFont val="Swis721 Lt BT"/>
        <family val="2"/>
      </rPr>
      <t>L</t>
    </r>
    <r>
      <rPr>
        <sz val="12"/>
        <rFont val="Swis721 Lt BT"/>
        <family val="2"/>
      </rPr>
      <t>) est déterminé à l'aide de la figure 3.6-1</t>
    </r>
    <r>
      <rPr>
        <i/>
        <sz val="12"/>
        <rFont val="Swis721 Lt BT"/>
        <family val="2"/>
      </rPr>
      <t xml:space="preserve"> Effet de laminage des lacs et des marécages</t>
    </r>
    <r>
      <rPr>
        <sz val="12"/>
        <rFont val="Swis721 Lt BT"/>
        <family val="2"/>
      </rPr>
      <t xml:space="preserve"> du </t>
    </r>
    <r>
      <rPr>
        <i/>
        <sz val="12"/>
        <rFont val="Swis721 Lt BT"/>
        <family val="2"/>
      </rPr>
      <t>Manuel de conteption des ponceaux</t>
    </r>
    <r>
      <rPr>
        <sz val="12"/>
        <rFont val="Swis721 Lt BT"/>
        <family val="2"/>
      </rPr>
      <t>.</t>
    </r>
  </si>
  <si>
    <r>
      <t xml:space="preserve">Les facteurs de majoration à appliquer pour tenir compte des changements climatiques peuvent être obtenus au chapitre 2 du </t>
    </r>
    <r>
      <rPr>
        <i/>
        <sz val="12"/>
        <rFont val="Swis721 Lt BT"/>
        <family val="2"/>
      </rPr>
      <t>Tome III – Ouvrages d'art</t>
    </r>
    <r>
      <rPr>
        <sz val="12"/>
        <rFont val="Swis721 Lt BT"/>
        <family val="2"/>
      </rPr>
      <t>, des normes du Ministère.</t>
    </r>
  </si>
  <si>
    <r>
      <t>Les débits de pointe (Q) (m</t>
    </r>
    <r>
      <rPr>
        <vertAlign val="superscript"/>
        <sz val="12"/>
        <rFont val="Swis721 Lt BT"/>
        <family val="2"/>
      </rPr>
      <t>3</t>
    </r>
    <r>
      <rPr>
        <sz val="12"/>
        <rFont val="Swis721 Lt BT"/>
        <family val="2"/>
      </rPr>
      <t>/s) peuvent être calculés à l'aide de l'équation suivante :</t>
    </r>
  </si>
  <si>
    <r>
      <t>Q non majorés (m</t>
    </r>
    <r>
      <rPr>
        <vertAlign val="superscript"/>
        <sz val="12"/>
        <color rgb="FF143D8D"/>
        <rFont val="Swis721 Lt BT"/>
        <family val="2"/>
      </rPr>
      <t>3</t>
    </r>
    <r>
      <rPr>
        <sz val="12"/>
        <color rgb="FF143D8D"/>
        <rFont val="Swis721 Lt BT"/>
        <family val="2"/>
      </rPr>
      <t>/s)</t>
    </r>
  </si>
  <si>
    <r>
      <t xml:space="preserve">Tableau 3.4–1 du </t>
    </r>
    <r>
      <rPr>
        <i/>
        <sz val="11"/>
        <rFont val="Swis721 Lt BT"/>
        <family val="2"/>
      </rPr>
      <t xml:space="preserve">Manuel de conception des ponceaux </t>
    </r>
    <r>
      <rPr>
        <sz val="11"/>
        <rFont val="Swis721 Lt BT"/>
        <family val="2"/>
      </rPr>
      <t>(2024)</t>
    </r>
  </si>
  <si>
    <t>Voici un exemple de courbe IDF pour la station de Saint-Jérome (7037400) :</t>
  </si>
  <si>
    <t>Voici les deux formes d'équation :</t>
  </si>
  <si>
    <r>
      <t xml:space="preserve">Voici un exemple tiré du </t>
    </r>
    <r>
      <rPr>
        <i/>
        <sz val="11"/>
        <rFont val="Swis721 Lt BT"/>
        <family val="2"/>
      </rPr>
      <t>Guide de gestion des eaux pluviales</t>
    </r>
    <r>
      <rPr>
        <sz val="11"/>
        <rFont val="Swis721 Lt BT"/>
        <family val="2"/>
      </rPr>
      <t xml:space="preserve"> pour diverses stations pluviométriques :</t>
    </r>
  </si>
  <si>
    <t>Il est important de remarquer d'abord que la forme de l'équation a changé. Voici les deux formes d'équation généralement utilisées :</t>
  </si>
  <si>
    <t>2 paramètres :</t>
  </si>
  <si>
    <t>3 paramètres :</t>
  </si>
  <si>
    <r>
      <t xml:space="preserve">Figure 3.5–2 du </t>
    </r>
    <r>
      <rPr>
        <i/>
        <sz val="11"/>
        <rFont val="Swis721 Lt BT"/>
        <family val="2"/>
      </rPr>
      <t>Manuel de conception des ponceaux</t>
    </r>
    <r>
      <rPr>
        <sz val="11"/>
        <rFont val="Swis721 Lt BT"/>
        <family val="2"/>
      </rPr>
      <t xml:space="preserve"> (2024)</t>
    </r>
  </si>
  <si>
    <r>
      <t xml:space="preserve">Figure 3.6–1 du </t>
    </r>
    <r>
      <rPr>
        <i/>
        <sz val="11"/>
        <rFont val="Swis721 Lt BT"/>
        <family val="2"/>
      </rPr>
      <t>Manuel de conception des ponceaux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</si>
</sst>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_ ;_ * \(#,##0.00\)_ ;_ * &quot;-&quot;??_)_ ;_ @_ "/>
    <numFmt numFmtId="164" formatCode="0.0"/>
    <numFmt numFmtId="165" formatCode="0.000"/>
    <numFmt numFmtId="166" formatCode=";;;"/>
    <numFmt numFmtId="167" formatCode="0.0000"/>
    <numFmt numFmtId="168" formatCode="0.000000000000000000"/>
    <numFmt numFmtId="169" formatCode="yyyy/mm/dd;@"/>
  </numFmts>
  <fonts count="82">
    <font>
      <sz val="10"/>
      <name val="Arial"/>
    </font>
    <font>
      <b/>
      <sz val="10"/>
      <name val="Arial"/>
      <family val="2"/>
    </font>
    <font>
      <sz val="10"/>
      <name val="Arial"/>
      <family val="2"/>
    </font>
    <font>
      <u/>
      <sz val="10"/>
      <color indexed="12"/>
      <name val="Arial"/>
      <family val="2"/>
    </font>
    <font>
      <sz val="8"/>
      <name val="Arial"/>
      <family val="2"/>
    </font>
    <font>
      <b/>
      <sz val="12"/>
      <color theme="0"/>
      <name val="Swis721 Cn BT"/>
      <family val="2"/>
    </font>
    <font>
      <sz val="10"/>
      <name val="Swis721 Cn BT"/>
      <family val="2"/>
    </font>
    <font>
      <b/>
      <sz val="10"/>
      <name val="Swis721 Cn BT"/>
      <family val="2"/>
    </font>
    <font>
      <sz val="12"/>
      <name val="Swis721 Cn BT"/>
      <family val="2"/>
    </font>
    <font>
      <b/>
      <sz val="11"/>
      <name val="Swis721 Cn BT"/>
      <family val="2"/>
    </font>
    <font>
      <b/>
      <sz val="12"/>
      <name val="Swis721 Cn BT"/>
      <family val="2"/>
    </font>
    <font>
      <b/>
      <sz val="12"/>
      <color rgb="FF0070C0"/>
      <name val="Swis721 Cn BT"/>
      <family val="2"/>
    </font>
    <font>
      <u/>
      <sz val="10"/>
      <color indexed="12"/>
      <name val="Swis721 Cn BT"/>
      <family val="2"/>
    </font>
    <font>
      <b/>
      <vertAlign val="subscript"/>
      <sz val="12"/>
      <name val="Swis721 Cn BT"/>
      <family val="2"/>
    </font>
    <font>
      <sz val="10"/>
      <name val="Swis721 Lt BT"/>
      <family val="2"/>
    </font>
    <font>
      <sz val="12"/>
      <color theme="1"/>
      <name val="Swis721 Cn BT"/>
      <family val="2"/>
    </font>
    <font>
      <b/>
      <sz val="16"/>
      <color rgb="FF143D8D"/>
      <name val="Swis721 Cn BT"/>
      <family val="2"/>
    </font>
    <font>
      <b/>
      <sz val="14"/>
      <name val="Swis721 Cn BT"/>
      <family val="2"/>
    </font>
    <font>
      <b/>
      <i/>
      <sz val="14"/>
      <name val="Swis721 Cn BT"/>
      <family val="2"/>
    </font>
    <font>
      <b/>
      <sz val="20"/>
      <color rgb="FF143D8D"/>
      <name val="Swis721 Cn BT"/>
      <family val="2"/>
    </font>
    <font>
      <b/>
      <sz val="24"/>
      <color rgb="FF143D8D"/>
      <name val="Swis721 Cn BT"/>
      <family val="2"/>
    </font>
    <font>
      <b/>
      <sz val="10"/>
      <color rgb="FF143D8D"/>
      <name val="Swis721 Lt BT"/>
      <family val="2"/>
    </font>
    <font>
      <u/>
      <sz val="10"/>
      <color indexed="12"/>
      <name val="Swis721 Lt BT"/>
      <family val="2"/>
    </font>
    <font>
      <sz val="12"/>
      <name val="Swis721 Lt BT"/>
      <family val="2"/>
    </font>
    <font>
      <b/>
      <vertAlign val="subscript"/>
      <sz val="16"/>
      <color rgb="FF143D8D"/>
      <name val="Swis721 Cn BT"/>
      <family val="2"/>
    </font>
    <font>
      <b/>
      <sz val="12"/>
      <name val="Swis721 Lt BT"/>
      <family val="2"/>
    </font>
    <font>
      <b/>
      <sz val="14"/>
      <name val="Swis721 Lt BT"/>
      <family val="2"/>
    </font>
    <font>
      <b/>
      <sz val="10"/>
      <name val="Swis721 Lt BT"/>
      <family val="2"/>
    </font>
    <font>
      <b/>
      <vertAlign val="subscript"/>
      <sz val="10"/>
      <name val="Swis721 Lt BT"/>
      <family val="2"/>
    </font>
    <font>
      <vertAlign val="subscript"/>
      <sz val="12"/>
      <name val="Swis721 Lt BT"/>
      <family val="2"/>
    </font>
    <font>
      <sz val="12"/>
      <color indexed="9"/>
      <name val="Swis721 Lt BT"/>
      <family val="2"/>
    </font>
    <font>
      <vertAlign val="superscript"/>
      <sz val="10"/>
      <name val="Swis721 Lt BT"/>
      <family val="2"/>
    </font>
    <font>
      <vertAlign val="subscript"/>
      <sz val="10"/>
      <name val="Swis721 Lt BT"/>
      <family val="2"/>
    </font>
    <font>
      <sz val="8"/>
      <name val="Swis721 Lt BT"/>
      <family val="2"/>
    </font>
    <font>
      <b/>
      <sz val="11"/>
      <name val="Swis721 Lt BT"/>
      <family val="2"/>
    </font>
    <font>
      <b/>
      <vertAlign val="subscript"/>
      <sz val="12"/>
      <name val="Swis721 Lt BT"/>
      <family val="2"/>
    </font>
    <font>
      <b/>
      <sz val="20"/>
      <color rgb="FF143D8D"/>
      <name val="Swis721 Lt BT"/>
      <family val="2"/>
    </font>
    <font>
      <b/>
      <sz val="12"/>
      <color rgb="FF143D8D"/>
      <name val="Swis721 Lt BT"/>
      <family val="2"/>
    </font>
    <font>
      <sz val="12"/>
      <color rgb="FF143D8D"/>
      <name val="Swis721 Lt BT"/>
      <family val="2"/>
    </font>
    <font>
      <sz val="10"/>
      <color rgb="FF143D8D"/>
      <name val="Swis721 Lt BT"/>
      <family val="2"/>
    </font>
    <font>
      <vertAlign val="subscript"/>
      <sz val="10"/>
      <color rgb="FF143D8D"/>
      <name val="Swis721 Lt BT"/>
      <family val="2"/>
    </font>
    <font>
      <b/>
      <vertAlign val="superscript"/>
      <sz val="12"/>
      <name val="Swis721 Lt BT"/>
      <family val="2"/>
    </font>
    <font>
      <u/>
      <sz val="12"/>
      <color indexed="12"/>
      <name val="Swis721 Lt BT"/>
      <family val="2"/>
    </font>
    <font>
      <i/>
      <sz val="12"/>
      <name val="Swis721 Cn BT"/>
      <family val="2"/>
    </font>
    <font>
      <sz val="12"/>
      <color rgb="FF19255B"/>
      <name val="Swis721 Lt BT"/>
      <family val="2"/>
    </font>
    <font>
      <b/>
      <vertAlign val="subscript"/>
      <sz val="12"/>
      <color rgb="FF143D8D"/>
      <name val="Swis721 Lt BT"/>
      <family val="2"/>
    </font>
    <font>
      <vertAlign val="superscript"/>
      <sz val="12"/>
      <color rgb="FF143D8D"/>
      <name val="Swis721 Lt BT"/>
      <family val="2"/>
    </font>
    <font>
      <vertAlign val="subscript"/>
      <sz val="12"/>
      <color rgb="FF143D8D"/>
      <name val="Swis721 Lt BT"/>
      <family val="2"/>
    </font>
    <font>
      <i/>
      <vertAlign val="subscript"/>
      <sz val="12"/>
      <name val="Swis721 Cn BT"/>
      <family val="2"/>
    </font>
    <font>
      <b/>
      <sz val="12"/>
      <color theme="0"/>
      <name val="Swis721 Lt BT"/>
      <family val="2"/>
    </font>
    <font>
      <sz val="14"/>
      <name val="Swis721 Cn BT"/>
      <family val="2"/>
    </font>
    <font>
      <sz val="11"/>
      <name val="Swis721 Cn BT"/>
      <family val="2"/>
    </font>
    <font>
      <u/>
      <sz val="11"/>
      <color indexed="12"/>
      <name val="Swis721 Lt BT"/>
      <family val="2"/>
    </font>
    <font>
      <sz val="11"/>
      <name val="Swis721 Lt BT"/>
      <family val="2"/>
    </font>
    <font>
      <b/>
      <sz val="11"/>
      <color theme="0"/>
      <name val="Swis721 Lt BT"/>
      <family val="2"/>
    </font>
    <font>
      <b/>
      <u/>
      <sz val="11"/>
      <color rgb="FF0000FF"/>
      <name val="Swis721 Lt BT"/>
      <family val="2"/>
    </font>
    <font>
      <b/>
      <i/>
      <sz val="10"/>
      <color rgb="FF143D8D"/>
      <name val="Swis721 Lt BT"/>
      <family val="2"/>
    </font>
    <font>
      <i/>
      <sz val="12"/>
      <name val="Swis721 Lt BT"/>
      <family val="2"/>
    </font>
    <font>
      <i/>
      <vertAlign val="subscript"/>
      <sz val="12"/>
      <name val="Swis721 Lt BT"/>
      <family val="2"/>
    </font>
    <font>
      <sz val="12"/>
      <name val="Calibri"/>
      <family val="2"/>
    </font>
    <font>
      <vertAlign val="superscript"/>
      <sz val="12"/>
      <name val="Swis721 Lt BT"/>
      <family val="2"/>
    </font>
    <font>
      <sz val="14"/>
      <color rgb="FF143D8D"/>
      <name val="Swis721 Cn BT"/>
      <family val="2"/>
    </font>
    <font>
      <b/>
      <vertAlign val="subscript"/>
      <sz val="16"/>
      <color rgb="FF143D8D"/>
      <name val="Swis721 Lt BT"/>
      <family val="2"/>
    </font>
    <font>
      <b/>
      <sz val="16"/>
      <color rgb="FF143D8D"/>
      <name val="Swis721 Lt BT"/>
      <family val="2"/>
    </font>
    <font>
      <b/>
      <vertAlign val="subscript"/>
      <sz val="14"/>
      <color rgb="FF143D8D"/>
      <name val="Swis721 Cn BT"/>
      <family val="2"/>
    </font>
    <font>
      <vertAlign val="subscript"/>
      <sz val="12"/>
      <name val="Swis721 Cn BT"/>
      <family val="2"/>
    </font>
    <font>
      <sz val="10"/>
      <color rgb="FF19255B"/>
      <name val="Swis721 Lt BT"/>
      <family val="2"/>
    </font>
    <font>
      <b/>
      <sz val="10"/>
      <color theme="0"/>
      <name val="Calibri"/>
      <family val="2"/>
      <scheme val="minor"/>
    </font>
    <font>
      <sz val="10"/>
      <color theme="0"/>
      <name val="Arial"/>
      <family val="2"/>
    </font>
    <font>
      <b/>
      <sz val="14"/>
      <color theme="0"/>
      <name val="Swis721 Cn BT"/>
      <family val="2"/>
    </font>
    <font>
      <sz val="10"/>
      <name val="Arial"/>
      <family val="2"/>
    </font>
    <font>
      <sz val="14"/>
      <name val="Swis721 Lt BT"/>
      <family val="2"/>
    </font>
    <font>
      <b/>
      <sz val="12"/>
      <name val="Sws721 Lt bt"/>
    </font>
    <font>
      <sz val="12"/>
      <name val="Sws721 lt bt"/>
    </font>
    <font>
      <sz val="10"/>
      <name val="Sws721 lt bt"/>
    </font>
    <font>
      <sz val="12"/>
      <color theme="1"/>
      <name val="Swis721 Lt BT"/>
      <family val="2"/>
    </font>
    <font>
      <i/>
      <sz val="11"/>
      <name val="Swis721 Lt BT"/>
      <family val="2"/>
    </font>
    <font>
      <b/>
      <u/>
      <sz val="11"/>
      <name val="Swis721 Lt BT"/>
      <family val="2"/>
    </font>
    <font>
      <b/>
      <vertAlign val="subscript"/>
      <sz val="14"/>
      <name val="Swis721 Cn BT"/>
      <family val="2"/>
    </font>
    <font>
      <b/>
      <vertAlign val="subscript"/>
      <sz val="10"/>
      <name val="Swis721 Cn BT"/>
      <family val="2"/>
    </font>
    <font>
      <u/>
      <sz val="11"/>
      <name val="Swis721 Lt BT"/>
      <family val="2"/>
    </font>
    <font>
      <b/>
      <i/>
      <sz val="16"/>
      <color rgb="FF143D8D"/>
      <name val="Swis721 Cn BT"/>
      <family val="2"/>
    </font>
  </fonts>
  <fills count="10">
    <fill>
      <patternFill patternType="none"/>
    </fill>
    <fill>
      <patternFill patternType="gray125"/>
    </fill>
    <fill>
      <patternFill patternType="solid">
        <fgColor theme="5" tint="0.39997558519241921"/>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E07D"/>
        <bgColor indexed="64"/>
      </patternFill>
    </fill>
    <fill>
      <patternFill patternType="solid">
        <fgColor theme="0" tint="-4.9989318521683403E-2"/>
        <bgColor indexed="64"/>
      </patternFill>
    </fill>
    <fill>
      <patternFill patternType="solid">
        <fgColor theme="0"/>
        <bgColor indexed="64"/>
      </patternFill>
    </fill>
    <fill>
      <patternFill patternType="solid">
        <fgColor rgb="FF143D8D"/>
        <bgColor indexed="64"/>
      </patternFill>
    </fill>
    <fill>
      <patternFill patternType="solid">
        <fgColor theme="0" tint="-0.3499862666707357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top/>
      <bottom style="thin">
        <color rgb="FF143D8D"/>
      </bottom>
      <diagonal/>
    </border>
    <border>
      <left/>
      <right/>
      <top style="thin">
        <color rgb="FF19255B"/>
      </top>
      <bottom/>
      <diagonal/>
    </border>
    <border>
      <left/>
      <right/>
      <top/>
      <bottom style="thin">
        <color rgb="FF19255B"/>
      </bottom>
      <diagonal/>
    </border>
    <border>
      <left/>
      <right style="thin">
        <color rgb="FF19255B"/>
      </right>
      <top style="thin">
        <color rgb="FF19255B"/>
      </top>
      <bottom style="thin">
        <color rgb="FF19255B"/>
      </bottom>
      <diagonal/>
    </border>
    <border>
      <left style="thin">
        <color rgb="FF19255B"/>
      </left>
      <right/>
      <top style="thin">
        <color rgb="FF19255B"/>
      </top>
      <bottom style="thin">
        <color rgb="FF19255B"/>
      </bottom>
      <diagonal/>
    </border>
    <border>
      <left/>
      <right/>
      <top style="thin">
        <color rgb="FF19255B"/>
      </top>
      <bottom style="thin">
        <color rgb="FF19255B"/>
      </bottom>
      <diagonal/>
    </border>
    <border>
      <left/>
      <right/>
      <top style="thin">
        <color rgb="FF19255B"/>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theme="1"/>
      </top>
      <bottom style="thin">
        <color theme="1"/>
      </bottom>
      <diagonal/>
    </border>
    <border>
      <left/>
      <right style="thick">
        <color theme="0"/>
      </right>
      <top/>
      <bottom/>
      <diagonal/>
    </border>
    <border>
      <left/>
      <right style="thick">
        <color theme="0"/>
      </right>
      <top style="thin">
        <color indexed="64"/>
      </top>
      <bottom style="thin">
        <color indexed="64"/>
      </bottom>
      <diagonal/>
    </border>
    <border>
      <left/>
      <right style="thick">
        <color theme="0"/>
      </right>
      <top style="thin">
        <color indexed="64"/>
      </top>
      <bottom/>
      <diagonal/>
    </border>
    <border>
      <left style="thick">
        <color theme="0"/>
      </left>
      <right/>
      <top/>
      <bottom/>
      <diagonal/>
    </border>
    <border>
      <left/>
      <right/>
      <top style="thin">
        <color rgb="FF143D8D"/>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style="thin">
        <color theme="1"/>
      </top>
      <bottom style="thin">
        <color theme="1"/>
      </bottom>
      <diagonal/>
    </border>
    <border>
      <left/>
      <right style="thin">
        <color theme="0"/>
      </right>
      <top/>
      <bottom/>
      <diagonal/>
    </border>
    <border>
      <left style="thin">
        <color theme="0"/>
      </left>
      <right style="thin">
        <color theme="0"/>
      </right>
      <top style="thin">
        <color indexed="64"/>
      </top>
      <bottom/>
      <diagonal/>
    </border>
    <border>
      <left style="thin">
        <color theme="0"/>
      </left>
      <right style="thin">
        <color theme="0"/>
      </right>
      <top style="thin">
        <color theme="1"/>
      </top>
      <bottom style="thin">
        <color theme="1"/>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theme="0"/>
      </right>
      <top style="thin">
        <color rgb="FF19255B"/>
      </top>
      <bottom style="thin">
        <color rgb="FF19255B"/>
      </bottom>
      <diagonal/>
    </border>
    <border>
      <left/>
      <right style="thin">
        <color theme="0"/>
      </right>
      <top style="thin">
        <color rgb="FF19255B"/>
      </top>
      <bottom style="thin">
        <color indexed="64"/>
      </bottom>
      <diagonal/>
    </border>
    <border>
      <left style="thin">
        <color theme="0"/>
      </left>
      <right style="thin">
        <color theme="0"/>
      </right>
      <top style="thin">
        <color rgb="FF19255B"/>
      </top>
      <bottom style="thin">
        <color rgb="FF19255B"/>
      </bottom>
      <diagonal/>
    </border>
    <border>
      <left style="thin">
        <color theme="0"/>
      </left>
      <right style="thin">
        <color theme="0"/>
      </right>
      <top style="thin">
        <color rgb="FF19255B"/>
      </top>
      <bottom style="thin">
        <color indexed="64"/>
      </bottom>
      <diagonal/>
    </border>
    <border>
      <left style="thin">
        <color indexed="64"/>
      </left>
      <right/>
      <top/>
      <bottom/>
      <diagonal/>
    </border>
    <border>
      <left/>
      <right/>
      <top style="thin">
        <color indexed="64"/>
      </top>
      <bottom style="thin">
        <color theme="1"/>
      </bottom>
      <diagonal/>
    </border>
    <border>
      <left style="thin">
        <color theme="0"/>
      </left>
      <right/>
      <top style="thin">
        <color indexed="64"/>
      </top>
      <bottom style="thin">
        <color theme="1"/>
      </bottom>
      <diagonal/>
    </border>
    <border>
      <left/>
      <right/>
      <top style="thin">
        <color theme="3"/>
      </top>
      <bottom/>
      <diagonal/>
    </border>
    <border>
      <left style="thick">
        <color theme="0"/>
      </left>
      <right style="thin">
        <color indexed="64"/>
      </right>
      <top/>
      <bottom/>
      <diagonal/>
    </border>
  </borders>
  <cellStyleXfs count="3">
    <xf numFmtId="0" fontId="0" fillId="0" borderId="0"/>
    <xf numFmtId="0" fontId="3" fillId="0" borderId="0" applyNumberFormat="0" applyFill="0" applyBorder="0" applyAlignment="0" applyProtection="0">
      <alignment vertical="top"/>
      <protection locked="0"/>
    </xf>
    <xf numFmtId="43" fontId="70" fillId="0" borderId="0" applyFont="0" applyFill="0" applyBorder="0" applyAlignment="0" applyProtection="0"/>
  </cellStyleXfs>
  <cellXfs count="464">
    <xf numFmtId="0" fontId="0" fillId="0" borderId="0" xfId="0"/>
    <xf numFmtId="0" fontId="14" fillId="7" borderId="0" xfId="0" applyFont="1" applyFill="1" applyBorder="1" applyProtection="1">
      <protection locked="0"/>
    </xf>
    <xf numFmtId="0" fontId="25" fillId="3" borderId="0" xfId="0" applyFont="1" applyFill="1" applyBorder="1" applyAlignment="1" applyProtection="1">
      <alignment horizontal="center"/>
      <protection locked="0"/>
    </xf>
    <xf numFmtId="0" fontId="14" fillId="3" borderId="6" xfId="0" applyFont="1" applyFill="1" applyBorder="1" applyAlignment="1" applyProtection="1">
      <alignment horizontal="center" vertical="center"/>
      <protection locked="0"/>
    </xf>
    <xf numFmtId="0" fontId="25" fillId="3" borderId="10" xfId="0" applyFont="1" applyFill="1" applyBorder="1" applyAlignment="1" applyProtection="1">
      <alignment horizontal="center"/>
      <protection locked="0"/>
    </xf>
    <xf numFmtId="0" fontId="14" fillId="3" borderId="10" xfId="0" applyFont="1" applyFill="1" applyBorder="1" applyAlignment="1" applyProtection="1">
      <alignment horizontal="center" vertical="center"/>
      <protection locked="0"/>
    </xf>
    <xf numFmtId="0" fontId="14" fillId="7" borderId="0" xfId="0" applyFont="1" applyFill="1" applyProtection="1">
      <protection locked="0"/>
    </xf>
    <xf numFmtId="0" fontId="23" fillId="7" borderId="0" xfId="0" applyFont="1" applyFill="1" applyAlignment="1" applyProtection="1">
      <alignment vertical="center"/>
      <protection locked="0"/>
    </xf>
    <xf numFmtId="0" fontId="53" fillId="7" borderId="0" xfId="0" applyFont="1" applyFill="1" applyProtection="1">
      <protection locked="0"/>
    </xf>
    <xf numFmtId="0" fontId="14" fillId="7" borderId="0" xfId="0" applyFont="1" applyFill="1" applyAlignment="1" applyProtection="1">
      <alignment vertical="center"/>
      <protection locked="0"/>
    </xf>
    <xf numFmtId="0" fontId="42" fillId="7" borderId="0" xfId="1" applyFont="1" applyFill="1" applyAlignment="1" applyProtection="1">
      <protection locked="0"/>
    </xf>
    <xf numFmtId="0" fontId="23" fillId="7" borderId="0" xfId="0" applyFont="1" applyFill="1" applyProtection="1">
      <protection locked="0"/>
    </xf>
    <xf numFmtId="0" fontId="22" fillId="7" borderId="0" xfId="1" applyFont="1" applyFill="1" applyAlignment="1" applyProtection="1">
      <protection locked="0"/>
    </xf>
    <xf numFmtId="0" fontId="52" fillId="7" borderId="0" xfId="1" applyFont="1" applyFill="1" applyAlignment="1" applyProtection="1">
      <protection locked="0"/>
    </xf>
    <xf numFmtId="0" fontId="14" fillId="7" borderId="0" xfId="0" quotePrefix="1" applyFont="1" applyFill="1" applyProtection="1">
      <protection locked="0"/>
    </xf>
    <xf numFmtId="0" fontId="23"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14" fillId="7" borderId="0" xfId="0" applyFont="1" applyFill="1" applyBorder="1" applyAlignment="1" applyProtection="1">
      <protection locked="0"/>
    </xf>
    <xf numFmtId="0" fontId="67" fillId="7" borderId="0" xfId="0" applyFont="1" applyFill="1" applyProtection="1">
      <protection hidden="1"/>
    </xf>
    <xf numFmtId="0" fontId="68" fillId="7" borderId="0" xfId="0" applyFont="1" applyFill="1" applyProtection="1">
      <protection hidden="1"/>
    </xf>
    <xf numFmtId="0" fontId="6" fillId="0" borderId="0" xfId="0" applyFont="1" applyProtection="1">
      <protection hidden="1"/>
    </xf>
    <xf numFmtId="0" fontId="6" fillId="7" borderId="0" xfId="0" applyFont="1" applyFill="1" applyProtection="1">
      <protection hidden="1"/>
    </xf>
    <xf numFmtId="0" fontId="14" fillId="0" borderId="0" xfId="0" applyFont="1" applyProtection="1">
      <protection hidden="1"/>
    </xf>
    <xf numFmtId="0" fontId="8" fillId="7" borderId="0" xfId="0" applyFont="1" applyFill="1" applyAlignment="1" applyProtection="1">
      <alignment vertical="center"/>
      <protection hidden="1"/>
    </xf>
    <xf numFmtId="0" fontId="8" fillId="7" borderId="0" xfId="0" applyFont="1" applyFill="1" applyBorder="1" applyAlignment="1" applyProtection="1">
      <alignment vertical="center"/>
      <protection hidden="1"/>
    </xf>
    <xf numFmtId="0" fontId="11" fillId="3" borderId="0" xfId="0" applyFont="1" applyFill="1" applyBorder="1" applyAlignment="1" applyProtection="1">
      <alignment horizontal="left" vertical="center" indent="1"/>
      <protection hidden="1"/>
    </xf>
    <xf numFmtId="0" fontId="6" fillId="6" borderId="11" xfId="0" applyFont="1" applyFill="1" applyBorder="1" applyProtection="1">
      <protection hidden="1"/>
    </xf>
    <xf numFmtId="0" fontId="10" fillId="4" borderId="11" xfId="0" applyFont="1" applyFill="1" applyBorder="1" applyAlignment="1" applyProtection="1">
      <alignment horizontal="left" vertical="center" indent="1"/>
      <protection hidden="1"/>
    </xf>
    <xf numFmtId="0" fontId="10" fillId="5" borderId="11" xfId="0" applyFont="1" applyFill="1" applyBorder="1" applyAlignment="1" applyProtection="1">
      <alignment horizontal="left" vertical="center" indent="1"/>
      <protection hidden="1"/>
    </xf>
    <xf numFmtId="0" fontId="8" fillId="2" borderId="11" xfId="0" applyFont="1" applyFill="1" applyBorder="1" applyAlignment="1" applyProtection="1">
      <alignment horizontal="left" vertical="center" indent="1"/>
      <protection hidden="1"/>
    </xf>
    <xf numFmtId="0" fontId="18" fillId="7" borderId="0" xfId="0" applyFont="1" applyFill="1" applyBorder="1" applyAlignment="1" applyProtection="1">
      <alignment horizontal="right" vertical="center"/>
      <protection hidden="1"/>
    </xf>
    <xf numFmtId="14" fontId="8" fillId="7" borderId="0" xfId="0" applyNumberFormat="1" applyFont="1" applyFill="1" applyBorder="1" applyAlignment="1" applyProtection="1">
      <alignment horizontal="center" vertical="center"/>
      <protection hidden="1"/>
    </xf>
    <xf numFmtId="0" fontId="6" fillId="7" borderId="0" xfId="0" applyFont="1" applyFill="1" applyBorder="1" applyProtection="1">
      <protection hidden="1"/>
    </xf>
    <xf numFmtId="0" fontId="6" fillId="7" borderId="0" xfId="0" applyFont="1" applyFill="1" applyAlignment="1" applyProtection="1">
      <protection hidden="1"/>
    </xf>
    <xf numFmtId="14" fontId="8" fillId="7" borderId="0" xfId="0" applyNumberFormat="1" applyFont="1" applyFill="1" applyBorder="1" applyAlignment="1" applyProtection="1">
      <alignment horizontal="left" vertical="center" indent="1"/>
      <protection hidden="1"/>
    </xf>
    <xf numFmtId="0" fontId="17" fillId="7" borderId="0" xfId="0" applyFont="1" applyFill="1" applyBorder="1" applyAlignment="1" applyProtection="1">
      <alignment horizontal="right" vertical="center"/>
      <protection hidden="1"/>
    </xf>
    <xf numFmtId="49" fontId="15" fillId="7" borderId="0" xfId="0" applyNumberFormat="1" applyFont="1" applyFill="1" applyBorder="1" applyAlignment="1" applyProtection="1">
      <alignment horizontal="center" vertical="center"/>
      <protection hidden="1"/>
    </xf>
    <xf numFmtId="0" fontId="14" fillId="7" borderId="0" xfId="0" applyFont="1" applyFill="1" applyAlignment="1" applyProtection="1">
      <alignment horizontal="left" vertical="center"/>
      <protection hidden="1"/>
    </xf>
    <xf numFmtId="0" fontId="6" fillId="7" borderId="0" xfId="0" applyFont="1" applyFill="1" applyAlignment="1" applyProtection="1">
      <alignment vertical="center"/>
      <protection hidden="1"/>
    </xf>
    <xf numFmtId="0" fontId="8" fillId="7" borderId="0" xfId="0" applyFont="1" applyFill="1" applyBorder="1" applyAlignment="1" applyProtection="1">
      <alignment horizontal="right" vertical="center"/>
      <protection hidden="1"/>
    </xf>
    <xf numFmtId="0" fontId="8" fillId="7" borderId="0" xfId="0" applyFont="1" applyFill="1" applyBorder="1" applyAlignment="1" applyProtection="1">
      <alignment horizontal="left" vertical="center" indent="1"/>
      <protection hidden="1"/>
    </xf>
    <xf numFmtId="0" fontId="14" fillId="7" borderId="0" xfId="0" applyFont="1" applyFill="1" applyAlignment="1" applyProtection="1">
      <alignment vertical="center"/>
      <protection hidden="1"/>
    </xf>
    <xf numFmtId="0" fontId="14" fillId="7" borderId="0" xfId="0" applyFont="1" applyFill="1" applyAlignment="1" applyProtection="1">
      <alignment horizontal="left" vertical="center" wrapText="1"/>
      <protection hidden="1"/>
    </xf>
    <xf numFmtId="0" fontId="6" fillId="7" borderId="0" xfId="0" applyFont="1" applyFill="1" applyAlignment="1" applyProtection="1">
      <alignment horizontal="right"/>
      <protection hidden="1"/>
    </xf>
    <xf numFmtId="0" fontId="8" fillId="7" borderId="0" xfId="0" applyFont="1" applyFill="1" applyBorder="1" applyAlignment="1" applyProtection="1">
      <alignment horizontal="center" vertical="center"/>
      <protection hidden="1"/>
    </xf>
    <xf numFmtId="0" fontId="12" fillId="7" borderId="0" xfId="1" applyFont="1" applyFill="1" applyBorder="1" applyAlignment="1" applyProtection="1">
      <protection hidden="1"/>
    </xf>
    <xf numFmtId="0" fontId="6" fillId="7" borderId="0" xfId="0" applyFont="1" applyFill="1" applyBorder="1" applyAlignment="1" applyProtection="1">
      <alignment vertical="center" wrapText="1"/>
      <protection hidden="1"/>
    </xf>
    <xf numFmtId="0" fontId="25" fillId="7" borderId="0" xfId="0" applyFont="1" applyFill="1" applyBorder="1" applyAlignment="1" applyProtection="1">
      <alignment horizontal="right" vertical="center"/>
      <protection hidden="1"/>
    </xf>
    <xf numFmtId="0" fontId="7" fillId="7" borderId="0" xfId="0" applyFont="1" applyFill="1" applyBorder="1" applyAlignment="1" applyProtection="1">
      <alignment horizontal="center" vertical="center" wrapText="1"/>
      <protection hidden="1"/>
    </xf>
    <xf numFmtId="0" fontId="6" fillId="7" borderId="0" xfId="0" applyFont="1" applyFill="1" applyBorder="1" applyAlignment="1" applyProtection="1">
      <alignment horizontal="center"/>
      <protection hidden="1"/>
    </xf>
    <xf numFmtId="0" fontId="6" fillId="7" borderId="0" xfId="0" applyFont="1" applyFill="1" applyBorder="1" applyAlignment="1" applyProtection="1">
      <alignment horizontal="center" vertical="center" wrapText="1"/>
      <protection hidden="1"/>
    </xf>
    <xf numFmtId="0" fontId="23" fillId="7" borderId="0" xfId="0" applyFont="1" applyFill="1" applyBorder="1" applyAlignment="1" applyProtection="1">
      <alignment horizontal="left" vertical="center" indent="1"/>
      <protection hidden="1"/>
    </xf>
    <xf numFmtId="0" fontId="8" fillId="7" borderId="0" xfId="0" applyFont="1" applyFill="1" applyBorder="1" applyAlignment="1" applyProtection="1">
      <alignment horizontal="center"/>
      <protection hidden="1"/>
    </xf>
    <xf numFmtId="0" fontId="51" fillId="7" borderId="0" xfId="0" applyFont="1" applyFill="1" applyProtection="1">
      <protection hidden="1"/>
    </xf>
    <xf numFmtId="0" fontId="51" fillId="7" borderId="0" xfId="0" applyFont="1" applyFill="1" applyBorder="1" applyAlignment="1" applyProtection="1">
      <alignment horizontal="center" vertical="center" wrapText="1"/>
      <protection hidden="1"/>
    </xf>
    <xf numFmtId="0" fontId="51" fillId="7" borderId="0" xfId="0" applyFont="1" applyFill="1" applyBorder="1" applyAlignment="1" applyProtection="1">
      <alignment vertical="center" wrapText="1"/>
      <protection hidden="1"/>
    </xf>
    <xf numFmtId="0" fontId="51" fillId="7" borderId="0" xfId="0" applyFont="1" applyFill="1" applyBorder="1" applyProtection="1">
      <protection hidden="1"/>
    </xf>
    <xf numFmtId="0" fontId="53" fillId="7" borderId="0" xfId="0" applyFont="1" applyFill="1" applyAlignment="1" applyProtection="1">
      <alignment horizontal="left" vertical="center"/>
      <protection hidden="1"/>
    </xf>
    <xf numFmtId="0" fontId="53" fillId="7" borderId="0" xfId="0" applyFont="1" applyFill="1" applyProtection="1">
      <protection hidden="1"/>
    </xf>
    <xf numFmtId="0" fontId="3" fillId="0" borderId="0" xfId="1" applyBorder="1" applyAlignment="1" applyProtection="1">
      <protection hidden="1"/>
    </xf>
    <xf numFmtId="0" fontId="25" fillId="7" borderId="0" xfId="0" applyFont="1" applyFill="1" applyBorder="1" applyAlignment="1" applyProtection="1">
      <alignment horizontal="center" vertical="center" wrapText="1"/>
      <protection hidden="1"/>
    </xf>
    <xf numFmtId="0" fontId="23" fillId="7" borderId="0" xfId="0" applyFont="1" applyFill="1" applyBorder="1" applyAlignment="1" applyProtection="1">
      <alignment horizontal="center" vertical="center"/>
      <protection hidden="1"/>
    </xf>
    <xf numFmtId="0" fontId="17" fillId="7" borderId="0" xfId="0" applyFont="1" applyFill="1" applyBorder="1" applyAlignment="1" applyProtection="1">
      <alignment horizontal="left" vertical="center"/>
      <protection hidden="1"/>
    </xf>
    <xf numFmtId="0" fontId="23" fillId="7" borderId="0" xfId="0" applyFont="1" applyFill="1" applyBorder="1" applyAlignment="1" applyProtection="1">
      <alignment horizontal="right" vertical="center" wrapText="1" indent="2"/>
      <protection hidden="1"/>
    </xf>
    <xf numFmtId="0" fontId="23" fillId="7" borderId="0" xfId="0" applyFont="1" applyFill="1" applyBorder="1" applyAlignment="1" applyProtection="1">
      <alignment horizontal="left" vertical="center"/>
      <protection hidden="1"/>
    </xf>
    <xf numFmtId="0" fontId="23" fillId="7" borderId="0" xfId="0" applyFont="1" applyFill="1" applyBorder="1" applyAlignment="1" applyProtection="1">
      <alignment horizontal="center" vertical="center" wrapText="1"/>
      <protection hidden="1"/>
    </xf>
    <xf numFmtId="0" fontId="43" fillId="7" borderId="0" xfId="0" applyFont="1" applyFill="1" applyBorder="1" applyAlignment="1" applyProtection="1">
      <alignment horizontal="left" vertical="center"/>
      <protection hidden="1"/>
    </xf>
    <xf numFmtId="0" fontId="14" fillId="7" borderId="0" xfId="0" applyFont="1" applyFill="1" applyProtection="1">
      <protection hidden="1"/>
    </xf>
    <xf numFmtId="0" fontId="39" fillId="7" borderId="16" xfId="0" applyFont="1" applyFill="1" applyBorder="1" applyAlignment="1" applyProtection="1">
      <alignment horizontal="center" vertical="center" wrapText="1"/>
      <protection hidden="1"/>
    </xf>
    <xf numFmtId="0" fontId="25" fillId="7" borderId="0" xfId="0" applyFont="1" applyFill="1" applyProtection="1">
      <protection hidden="1"/>
    </xf>
    <xf numFmtId="0" fontId="14" fillId="0" borderId="20"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7" borderId="0" xfId="0" applyFont="1" applyFill="1" applyAlignment="1" applyProtection="1">
      <alignment horizontal="left"/>
      <protection hidden="1"/>
    </xf>
    <xf numFmtId="0" fontId="14" fillId="0" borderId="8" xfId="0" applyFont="1" applyBorder="1" applyAlignment="1" applyProtection="1">
      <alignment horizontal="center" vertical="center"/>
      <protection hidden="1"/>
    </xf>
    <xf numFmtId="0" fontId="14" fillId="7" borderId="0" xfId="0" applyFont="1" applyFill="1" applyBorder="1" applyAlignment="1" applyProtection="1">
      <alignment vertical="center"/>
      <protection hidden="1"/>
    </xf>
    <xf numFmtId="0" fontId="14" fillId="7" borderId="0" xfId="0" applyFont="1" applyFill="1" applyAlignment="1" applyProtection="1">
      <protection hidden="1"/>
    </xf>
    <xf numFmtId="0" fontId="14" fillId="7" borderId="0" xfId="0" applyFont="1" applyFill="1" applyBorder="1" applyProtection="1">
      <protection hidden="1"/>
    </xf>
    <xf numFmtId="0" fontId="22" fillId="7" borderId="0" xfId="1" applyFont="1" applyFill="1" applyAlignment="1" applyProtection="1">
      <protection hidden="1"/>
    </xf>
    <xf numFmtId="0" fontId="49" fillId="7" borderId="0" xfId="0" applyFont="1" applyFill="1" applyBorder="1" applyAlignment="1" applyProtection="1">
      <alignment horizontal="center" vertical="center"/>
      <protection hidden="1"/>
    </xf>
    <xf numFmtId="0" fontId="9" fillId="7" borderId="0" xfId="0" applyFont="1" applyFill="1" applyBorder="1" applyAlignment="1" applyProtection="1">
      <alignment horizontal="left" vertical="center"/>
      <protection hidden="1"/>
    </xf>
    <xf numFmtId="0" fontId="54" fillId="7" borderId="0" xfId="0" applyFont="1" applyFill="1" applyBorder="1" applyAlignment="1" applyProtection="1">
      <alignment horizontal="center" vertical="center"/>
      <protection hidden="1"/>
    </xf>
    <xf numFmtId="0" fontId="34" fillId="7" borderId="9" xfId="0" applyFont="1" applyFill="1" applyBorder="1" applyAlignment="1" applyProtection="1">
      <alignment horizontal="center" vertical="center" wrapText="1"/>
      <protection hidden="1"/>
    </xf>
    <xf numFmtId="0" fontId="53" fillId="7" borderId="0" xfId="0" applyFont="1" applyFill="1" applyBorder="1" applyAlignment="1" applyProtection="1">
      <alignment horizontal="center" vertical="center"/>
      <protection hidden="1"/>
    </xf>
    <xf numFmtId="0" fontId="3" fillId="7" borderId="0" xfId="1" applyFill="1" applyAlignment="1" applyProtection="1">
      <alignment horizontal="left"/>
      <protection hidden="1"/>
    </xf>
    <xf numFmtId="0" fontId="23" fillId="6" borderId="9" xfId="0" applyFont="1" applyFill="1" applyBorder="1" applyAlignment="1" applyProtection="1">
      <alignment horizontal="center"/>
      <protection hidden="1"/>
    </xf>
    <xf numFmtId="0" fontId="30" fillId="7" borderId="0" xfId="0" applyFont="1" applyFill="1" applyBorder="1" applyAlignment="1" applyProtection="1">
      <alignment horizontal="center" vertical="center"/>
      <protection hidden="1"/>
    </xf>
    <xf numFmtId="0" fontId="14" fillId="7" borderId="0" xfId="0" applyFont="1" applyFill="1" applyBorder="1" applyAlignment="1" applyProtection="1">
      <alignment vertical="center" wrapText="1"/>
      <protection hidden="1"/>
    </xf>
    <xf numFmtId="0" fontId="25" fillId="7" borderId="0" xfId="0" applyFont="1" applyFill="1" applyBorder="1" applyAlignment="1" applyProtection="1">
      <alignment horizontal="right" vertical="center" wrapText="1"/>
      <protection hidden="1"/>
    </xf>
    <xf numFmtId="0" fontId="14" fillId="7" borderId="0" xfId="0" applyFont="1" applyFill="1" applyBorder="1" applyAlignment="1" applyProtection="1">
      <alignment horizontal="center" vertical="center" wrapText="1"/>
      <protection hidden="1"/>
    </xf>
    <xf numFmtId="0" fontId="14" fillId="7" borderId="2" xfId="0" applyFont="1" applyFill="1" applyBorder="1" applyAlignment="1" applyProtection="1">
      <protection hidden="1"/>
    </xf>
    <xf numFmtId="0" fontId="14" fillId="7" borderId="2" xfId="0" applyFont="1" applyFill="1" applyBorder="1" applyProtection="1">
      <protection hidden="1"/>
    </xf>
    <xf numFmtId="0" fontId="38" fillId="7" borderId="6" xfId="0" applyFont="1" applyFill="1" applyBorder="1" applyAlignment="1" applyProtection="1">
      <alignment horizontal="center" vertical="center" wrapText="1"/>
      <protection hidden="1"/>
    </xf>
    <xf numFmtId="0" fontId="14" fillId="7" borderId="6" xfId="0" applyFont="1" applyFill="1" applyBorder="1" applyAlignment="1" applyProtection="1">
      <alignment horizontal="center" vertical="center"/>
      <protection hidden="1"/>
    </xf>
    <xf numFmtId="2" fontId="14" fillId="6" borderId="6" xfId="0" applyNumberFormat="1" applyFont="1" applyFill="1" applyBorder="1" applyAlignment="1" applyProtection="1">
      <alignment horizontal="center" vertical="center"/>
      <protection hidden="1"/>
    </xf>
    <xf numFmtId="0" fontId="38" fillId="7" borderId="2" xfId="0" applyFont="1" applyFill="1" applyBorder="1" applyAlignment="1" applyProtection="1">
      <alignment horizontal="center"/>
      <protection hidden="1"/>
    </xf>
    <xf numFmtId="0" fontId="14" fillId="7" borderId="0" xfId="0" applyFont="1" applyFill="1" applyBorder="1" applyAlignment="1" applyProtection="1">
      <protection hidden="1"/>
    </xf>
    <xf numFmtId="164" fontId="14" fillId="7" borderId="0" xfId="0" applyNumberFormat="1" applyFont="1" applyFill="1" applyBorder="1" applyAlignment="1" applyProtection="1">
      <alignment horizontal="left" indent="1"/>
      <protection hidden="1"/>
    </xf>
    <xf numFmtId="1" fontId="14" fillId="7" borderId="0" xfId="0" applyNumberFormat="1" applyFont="1" applyFill="1" applyBorder="1" applyAlignment="1" applyProtection="1">
      <alignment horizontal="left" indent="1"/>
      <protection hidden="1"/>
    </xf>
    <xf numFmtId="2" fontId="14" fillId="7" borderId="0" xfId="0" applyNumberFormat="1" applyFont="1" applyFill="1" applyBorder="1" applyAlignment="1" applyProtection="1">
      <alignment horizontal="left" indent="1"/>
      <protection hidden="1"/>
    </xf>
    <xf numFmtId="2" fontId="25" fillId="4" borderId="6" xfId="0" applyNumberFormat="1" applyFont="1" applyFill="1" applyBorder="1" applyAlignment="1" applyProtection="1">
      <alignment horizontal="center"/>
      <protection hidden="1"/>
    </xf>
    <xf numFmtId="0" fontId="25" fillId="7" borderId="0" xfId="0" applyFont="1" applyFill="1" applyBorder="1" applyAlignment="1" applyProtection="1">
      <alignment horizontal="center" vertical="center"/>
      <protection hidden="1"/>
    </xf>
    <xf numFmtId="0" fontId="25" fillId="3" borderId="10" xfId="0" applyFont="1" applyFill="1" applyBorder="1" applyAlignment="1" applyProtection="1">
      <alignment horizontal="center" vertical="center"/>
      <protection locked="0" hidden="1"/>
    </xf>
    <xf numFmtId="0" fontId="23" fillId="3" borderId="10" xfId="0" applyFont="1" applyFill="1" applyBorder="1" applyAlignment="1" applyProtection="1">
      <alignment horizontal="center" vertical="center"/>
      <protection locked="0" hidden="1"/>
    </xf>
    <xf numFmtId="0" fontId="23" fillId="3" borderId="0" xfId="0" applyFont="1" applyFill="1" applyBorder="1" applyAlignment="1" applyProtection="1">
      <alignment horizontal="center" vertical="center"/>
      <protection locked="0" hidden="1"/>
    </xf>
    <xf numFmtId="0" fontId="23" fillId="7" borderId="0" xfId="0" applyFont="1" applyFill="1" applyBorder="1" applyAlignment="1" applyProtection="1">
      <alignment horizontal="right" vertical="center" wrapText="1" indent="1"/>
      <protection hidden="1"/>
    </xf>
    <xf numFmtId="0" fontId="23" fillId="7" borderId="0" xfId="0" applyFont="1" applyFill="1" applyBorder="1" applyAlignment="1" applyProtection="1">
      <alignment horizontal="center"/>
      <protection hidden="1"/>
    </xf>
    <xf numFmtId="2" fontId="25" fillId="4" borderId="11" xfId="0" applyNumberFormat="1" applyFont="1" applyFill="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10" fillId="7" borderId="0" xfId="0" applyFont="1" applyFill="1" applyBorder="1" applyAlignment="1" applyProtection="1">
      <alignment horizontal="left" vertical="center"/>
      <protection hidden="1"/>
    </xf>
    <xf numFmtId="0" fontId="30" fillId="7" borderId="0" xfId="0" applyFont="1" applyFill="1" applyBorder="1" applyAlignment="1" applyProtection="1">
      <alignment vertical="center" wrapText="1"/>
      <protection hidden="1"/>
    </xf>
    <xf numFmtId="0" fontId="30" fillId="7" borderId="0" xfId="0" applyFont="1" applyFill="1" applyBorder="1" applyAlignment="1" applyProtection="1">
      <alignment horizontal="center" vertical="center" wrapText="1"/>
      <protection hidden="1"/>
    </xf>
    <xf numFmtId="0" fontId="30" fillId="7" borderId="2" xfId="0" applyFont="1" applyFill="1" applyBorder="1" applyAlignment="1" applyProtection="1">
      <alignment vertical="center" wrapText="1"/>
      <protection hidden="1"/>
    </xf>
    <xf numFmtId="0" fontId="30" fillId="7" borderId="2" xfId="0" applyFont="1" applyFill="1" applyBorder="1" applyAlignment="1" applyProtection="1">
      <alignment horizontal="center" vertical="center" wrapText="1"/>
      <protection hidden="1"/>
    </xf>
    <xf numFmtId="0" fontId="38" fillId="7" borderId="0" xfId="0" applyFont="1" applyFill="1" applyBorder="1" applyAlignment="1" applyProtection="1">
      <alignment horizontal="center" vertical="center" wrapText="1"/>
      <protection hidden="1"/>
    </xf>
    <xf numFmtId="0" fontId="37" fillId="7" borderId="0" xfId="0" applyFont="1" applyFill="1" applyBorder="1" applyAlignment="1" applyProtection="1">
      <alignment horizontal="center" vertical="center" wrapText="1"/>
      <protection hidden="1"/>
    </xf>
    <xf numFmtId="1" fontId="23" fillId="7" borderId="8" xfId="0" applyNumberFormat="1" applyFont="1" applyFill="1" applyBorder="1" applyAlignment="1" applyProtection="1">
      <alignment vertical="center"/>
      <protection hidden="1"/>
    </xf>
    <xf numFmtId="0" fontId="14" fillId="7" borderId="0" xfId="0" quotePrefix="1" applyFont="1" applyFill="1" applyBorder="1" applyAlignment="1" applyProtection="1">
      <alignment horizontal="left" vertical="center"/>
      <protection hidden="1"/>
    </xf>
    <xf numFmtId="0" fontId="14" fillId="7" borderId="0" xfId="0" applyFont="1" applyFill="1" applyBorder="1" applyAlignment="1" applyProtection="1">
      <alignment horizontal="left" vertical="center"/>
      <protection hidden="1"/>
    </xf>
    <xf numFmtId="49" fontId="33" fillId="7" borderId="0" xfId="0" applyNumberFormat="1" applyFont="1" applyFill="1" applyBorder="1" applyAlignment="1" applyProtection="1">
      <alignment horizontal="center" wrapText="1"/>
      <protection hidden="1"/>
    </xf>
    <xf numFmtId="49" fontId="14" fillId="7" borderId="0" xfId="0" applyNumberFormat="1" applyFont="1" applyFill="1" applyBorder="1" applyAlignment="1" applyProtection="1">
      <alignment horizontal="left" wrapText="1"/>
      <protection hidden="1"/>
    </xf>
    <xf numFmtId="49" fontId="33" fillId="7" borderId="0" xfId="0" applyNumberFormat="1" applyFont="1" applyFill="1" applyBorder="1" applyAlignment="1" applyProtection="1">
      <alignment horizontal="left" wrapText="1"/>
      <protection hidden="1"/>
    </xf>
    <xf numFmtId="0" fontId="14" fillId="7" borderId="0" xfId="0" applyFont="1" applyFill="1" applyBorder="1" applyAlignment="1" applyProtection="1">
      <alignment horizontal="center" wrapText="1"/>
      <protection hidden="1"/>
    </xf>
    <xf numFmtId="0" fontId="3" fillId="7" borderId="0" xfId="1" applyFill="1" applyAlignment="1" applyProtection="1">
      <protection hidden="1"/>
    </xf>
    <xf numFmtId="0" fontId="23" fillId="7" borderId="0" xfId="0" quotePrefix="1" applyFont="1" applyFill="1" applyBorder="1" applyAlignment="1" applyProtection="1">
      <alignment horizontal="left" indent="1"/>
      <protection hidden="1"/>
    </xf>
    <xf numFmtId="0" fontId="22" fillId="7" borderId="0" xfId="1" applyFont="1" applyFill="1" applyBorder="1" applyAlignment="1" applyProtection="1">
      <protection hidden="1"/>
    </xf>
    <xf numFmtId="0" fontId="27" fillId="7" borderId="0" xfId="0" applyFont="1" applyFill="1" applyBorder="1" applyAlignment="1" applyProtection="1">
      <protection hidden="1"/>
    </xf>
    <xf numFmtId="0" fontId="27" fillId="7" borderId="2" xfId="0" applyFont="1" applyFill="1" applyBorder="1" applyAlignment="1" applyProtection="1">
      <protection hidden="1"/>
    </xf>
    <xf numFmtId="0" fontId="38" fillId="7" borderId="6" xfId="0" applyFont="1" applyFill="1" applyBorder="1" applyAlignment="1" applyProtection="1">
      <alignment horizontal="center" vertical="center"/>
      <protection hidden="1"/>
    </xf>
    <xf numFmtId="0" fontId="14" fillId="7" borderId="0" xfId="0" applyFont="1" applyFill="1" applyBorder="1" applyAlignment="1" applyProtection="1">
      <alignment horizontal="left" indent="1"/>
      <protection hidden="1"/>
    </xf>
    <xf numFmtId="0" fontId="14" fillId="7" borderId="0" xfId="0" applyFont="1" applyFill="1" applyBorder="1" applyAlignment="1" applyProtection="1">
      <alignment horizontal="left"/>
      <protection hidden="1"/>
    </xf>
    <xf numFmtId="1" fontId="14" fillId="7" borderId="0" xfId="0" applyNumberFormat="1" applyFont="1" applyFill="1" applyBorder="1" applyAlignment="1" applyProtection="1">
      <alignment horizontal="center"/>
      <protection hidden="1"/>
    </xf>
    <xf numFmtId="0" fontId="27" fillId="7" borderId="2" xfId="0" applyFont="1" applyFill="1" applyBorder="1" applyAlignment="1" applyProtection="1">
      <alignment horizontal="center"/>
      <protection hidden="1"/>
    </xf>
    <xf numFmtId="0" fontId="27" fillId="7" borderId="0" xfId="0" applyFont="1" applyFill="1" applyBorder="1" applyAlignment="1" applyProtection="1">
      <alignment horizontal="center"/>
      <protection hidden="1"/>
    </xf>
    <xf numFmtId="0" fontId="39" fillId="7" borderId="2" xfId="0" applyFont="1" applyFill="1" applyBorder="1" applyAlignment="1" applyProtection="1">
      <alignment horizontal="center"/>
      <protection hidden="1"/>
    </xf>
    <xf numFmtId="0" fontId="39" fillId="7" borderId="7" xfId="0" applyFont="1" applyFill="1" applyBorder="1" applyAlignment="1" applyProtection="1">
      <alignment horizontal="center"/>
      <protection hidden="1"/>
    </xf>
    <xf numFmtId="0" fontId="34" fillId="7" borderId="0" xfId="0" applyFont="1" applyFill="1" applyBorder="1" applyAlignment="1" applyProtection="1">
      <protection hidden="1"/>
    </xf>
    <xf numFmtId="0" fontId="23" fillId="7" borderId="0" xfId="0" quotePrefix="1" applyFont="1" applyFill="1" applyBorder="1" applyAlignment="1" applyProtection="1">
      <alignment horizontal="left" vertical="center" wrapText="1" indent="1"/>
      <protection hidden="1"/>
    </xf>
    <xf numFmtId="0" fontId="25" fillId="7" borderId="0" xfId="0" applyFont="1" applyFill="1" applyBorder="1" applyAlignment="1" applyProtection="1">
      <alignment vertical="center" wrapText="1"/>
      <protection hidden="1"/>
    </xf>
    <xf numFmtId="0" fontId="25" fillId="7" borderId="0" xfId="0" applyFont="1" applyFill="1" applyBorder="1" applyAlignment="1" applyProtection="1">
      <alignment horizontal="right" vertical="center" indent="1"/>
      <protection hidden="1"/>
    </xf>
    <xf numFmtId="0" fontId="50" fillId="7" borderId="0" xfId="0" applyFont="1" applyFill="1" applyBorder="1" applyAlignment="1" applyProtection="1">
      <alignment horizontal="left" vertical="center"/>
      <protection hidden="1"/>
    </xf>
    <xf numFmtId="0" fontId="8" fillId="7" borderId="0" xfId="0" applyFont="1" applyFill="1" applyBorder="1" applyAlignment="1" applyProtection="1">
      <alignment horizontal="left" vertical="center"/>
      <protection hidden="1"/>
    </xf>
    <xf numFmtId="2" fontId="14" fillId="7" borderId="0" xfId="0" applyNumberFormat="1" applyFont="1" applyFill="1" applyBorder="1" applyAlignment="1" applyProtection="1">
      <alignment horizontal="center" vertical="center"/>
      <protection hidden="1"/>
    </xf>
    <xf numFmtId="0" fontId="27" fillId="7" borderId="0" xfId="0" applyFont="1" applyFill="1" applyBorder="1" applyAlignment="1" applyProtection="1">
      <alignment horizontal="left" indent="1"/>
      <protection hidden="1"/>
    </xf>
    <xf numFmtId="0" fontId="14" fillId="7" borderId="9" xfId="0" applyFont="1" applyFill="1" applyBorder="1" applyProtection="1">
      <protection hidden="1"/>
    </xf>
    <xf numFmtId="2" fontId="27" fillId="4" borderId="11" xfId="0" applyNumberFormat="1" applyFont="1" applyFill="1" applyBorder="1" applyAlignment="1" applyProtection="1">
      <alignment horizontal="center" vertical="center"/>
      <protection hidden="1"/>
    </xf>
    <xf numFmtId="0" fontId="14" fillId="7" borderId="11" xfId="0" applyFont="1" applyFill="1" applyBorder="1" applyProtection="1">
      <protection hidden="1"/>
    </xf>
    <xf numFmtId="164" fontId="14" fillId="7" borderId="0" xfId="0" applyNumberFormat="1" applyFont="1" applyFill="1" applyBorder="1" applyProtection="1">
      <protection hidden="1"/>
    </xf>
    <xf numFmtId="0" fontId="25" fillId="7" borderId="0" xfId="0" applyFont="1" applyFill="1" applyBorder="1" applyAlignment="1" applyProtection="1">
      <alignment horizontal="right" wrapText="1"/>
      <protection hidden="1"/>
    </xf>
    <xf numFmtId="0" fontId="14" fillId="7" borderId="0" xfId="0" applyFont="1" applyFill="1" applyBorder="1" applyAlignment="1" applyProtection="1">
      <alignment horizontal="center" vertical="center"/>
      <protection hidden="1"/>
    </xf>
    <xf numFmtId="0" fontId="14" fillId="7" borderId="0" xfId="0" applyFont="1" applyFill="1" applyBorder="1" applyAlignment="1" applyProtection="1">
      <alignment wrapText="1"/>
      <protection hidden="1"/>
    </xf>
    <xf numFmtId="1" fontId="38" fillId="7" borderId="24" xfId="0" applyNumberFormat="1" applyFont="1" applyFill="1" applyBorder="1" applyAlignment="1" applyProtection="1">
      <alignment horizontal="center" vertical="center"/>
      <protection hidden="1"/>
    </xf>
    <xf numFmtId="1" fontId="38" fillId="7" borderId="24" xfId="0" applyNumberFormat="1" applyFont="1" applyFill="1" applyBorder="1" applyAlignment="1" applyProtection="1">
      <alignment horizontal="center" vertical="center" wrapText="1"/>
      <protection hidden="1"/>
    </xf>
    <xf numFmtId="0" fontId="33" fillId="7" borderId="0" xfId="0" applyFont="1" applyFill="1" applyBorder="1" applyAlignment="1" applyProtection="1">
      <alignment wrapText="1"/>
      <protection hidden="1"/>
    </xf>
    <xf numFmtId="0" fontId="36" fillId="7" borderId="0" xfId="0" applyFont="1" applyFill="1" applyBorder="1" applyAlignment="1" applyProtection="1">
      <alignment horizontal="center" vertical="center" wrapText="1"/>
      <protection hidden="1"/>
    </xf>
    <xf numFmtId="0" fontId="36" fillId="7" borderId="25" xfId="0" applyFont="1" applyFill="1" applyBorder="1" applyAlignment="1" applyProtection="1">
      <alignment horizontal="center" vertical="center" wrapText="1"/>
      <protection hidden="1"/>
    </xf>
    <xf numFmtId="0" fontId="23" fillId="6" borderId="0" xfId="0" applyFont="1" applyFill="1" applyBorder="1" applyAlignment="1" applyProtection="1">
      <alignment horizontal="center" vertical="center"/>
      <protection hidden="1"/>
    </xf>
    <xf numFmtId="0" fontId="23" fillId="6" borderId="11" xfId="0" applyFont="1" applyFill="1" applyBorder="1" applyAlignment="1" applyProtection="1">
      <alignment horizontal="center" vertical="center"/>
      <protection hidden="1"/>
    </xf>
    <xf numFmtId="0" fontId="27" fillId="7" borderId="25" xfId="0" applyFont="1" applyFill="1" applyBorder="1" applyAlignment="1" applyProtection="1">
      <alignment horizontal="center" vertical="center"/>
      <protection hidden="1"/>
    </xf>
    <xf numFmtId="0" fontId="23" fillId="6" borderId="10" xfId="0" applyFont="1" applyFill="1" applyBorder="1" applyAlignment="1" applyProtection="1">
      <alignment horizontal="center" vertical="center"/>
      <protection hidden="1"/>
    </xf>
    <xf numFmtId="0" fontId="38" fillId="7" borderId="0" xfId="0" applyFont="1" applyFill="1" applyBorder="1" applyAlignment="1" applyProtection="1">
      <alignment horizontal="right" vertical="center"/>
      <protection hidden="1"/>
    </xf>
    <xf numFmtId="0" fontId="39" fillId="7" borderId="0" xfId="0" applyFont="1" applyFill="1" applyBorder="1" applyAlignment="1" applyProtection="1">
      <alignment vertical="top" wrapText="1"/>
      <protection hidden="1"/>
    </xf>
    <xf numFmtId="0" fontId="63" fillId="7" borderId="0" xfId="0" applyFont="1" applyFill="1" applyBorder="1" applyAlignment="1" applyProtection="1">
      <alignment vertical="center"/>
      <protection hidden="1"/>
    </xf>
    <xf numFmtId="0" fontId="27" fillId="7" borderId="0" xfId="0" applyFont="1" applyFill="1" applyBorder="1" applyAlignment="1" applyProtection="1">
      <alignment horizontal="center" vertical="center"/>
      <protection hidden="1"/>
    </xf>
    <xf numFmtId="0" fontId="14" fillId="7" borderId="25" xfId="0" applyFont="1" applyFill="1" applyBorder="1" applyAlignment="1" applyProtection="1">
      <alignment vertical="center"/>
      <protection hidden="1"/>
    </xf>
    <xf numFmtId="164" fontId="23" fillId="6" borderId="10" xfId="0" applyNumberFormat="1" applyFont="1" applyFill="1" applyBorder="1" applyAlignment="1" applyProtection="1">
      <alignment horizontal="center" vertical="center"/>
      <protection hidden="1"/>
    </xf>
    <xf numFmtId="164" fontId="23" fillId="6" borderId="0" xfId="0" applyNumberFormat="1" applyFont="1" applyFill="1" applyBorder="1" applyAlignment="1" applyProtection="1">
      <alignment horizontal="center" vertical="center"/>
      <protection hidden="1"/>
    </xf>
    <xf numFmtId="0" fontId="27" fillId="7" borderId="0" xfId="0" applyFont="1" applyFill="1" applyBorder="1" applyAlignment="1" applyProtection="1">
      <alignment vertical="center"/>
      <protection hidden="1"/>
    </xf>
    <xf numFmtId="0" fontId="14" fillId="7" borderId="0" xfId="0" applyFont="1" applyFill="1" applyBorder="1" applyAlignment="1" applyProtection="1">
      <alignment vertical="top" wrapText="1"/>
      <protection hidden="1"/>
    </xf>
    <xf numFmtId="2" fontId="23" fillId="6" borderId="11" xfId="0" applyNumberFormat="1" applyFont="1" applyFill="1" applyBorder="1" applyAlignment="1" applyProtection="1">
      <alignment horizontal="center" vertical="center"/>
      <protection hidden="1"/>
    </xf>
    <xf numFmtId="0" fontId="14" fillId="7" borderId="25" xfId="0" applyFont="1" applyFill="1" applyBorder="1" applyAlignment="1" applyProtection="1">
      <alignment horizontal="left" vertical="center"/>
      <protection hidden="1"/>
    </xf>
    <xf numFmtId="164" fontId="23" fillId="6" borderId="11" xfId="0" applyNumberFormat="1" applyFont="1" applyFill="1" applyBorder="1" applyAlignment="1" applyProtection="1">
      <alignment horizontal="center" vertical="center"/>
      <protection hidden="1"/>
    </xf>
    <xf numFmtId="0" fontId="23" fillId="7" borderId="0" xfId="0" applyFont="1" applyFill="1" applyBorder="1" applyAlignment="1" applyProtection="1">
      <alignment vertical="center"/>
      <protection hidden="1"/>
    </xf>
    <xf numFmtId="0" fontId="38" fillId="7" borderId="0" xfId="0" applyFont="1" applyFill="1" applyBorder="1" applyAlignment="1" applyProtection="1">
      <alignment horizontal="right" vertical="center" wrapText="1"/>
      <protection hidden="1"/>
    </xf>
    <xf numFmtId="0" fontId="14" fillId="7" borderId="2" xfId="0" applyFont="1" applyFill="1" applyBorder="1" applyAlignment="1" applyProtection="1">
      <alignment vertical="center" wrapText="1"/>
      <protection hidden="1"/>
    </xf>
    <xf numFmtId="0" fontId="14" fillId="7" borderId="2" xfId="0" applyFont="1" applyFill="1" applyBorder="1" applyAlignment="1" applyProtection="1">
      <alignment horizontal="center" vertical="center"/>
      <protection hidden="1"/>
    </xf>
    <xf numFmtId="0" fontId="14" fillId="7" borderId="2" xfId="0" applyFont="1" applyFill="1" applyBorder="1" applyAlignment="1" applyProtection="1">
      <alignment vertical="center"/>
      <protection hidden="1"/>
    </xf>
    <xf numFmtId="0" fontId="38" fillId="7" borderId="26" xfId="0" applyFont="1" applyFill="1" applyBorder="1" applyAlignment="1" applyProtection="1">
      <alignment horizontal="center" vertical="center"/>
      <protection hidden="1"/>
    </xf>
    <xf numFmtId="164" fontId="23" fillId="6" borderId="26" xfId="0" applyNumberFormat="1" applyFont="1" applyFill="1" applyBorder="1" applyAlignment="1" applyProtection="1">
      <alignment horizontal="center" vertical="center"/>
      <protection hidden="1"/>
    </xf>
    <xf numFmtId="164" fontId="23" fillId="6" borderId="25" xfId="0" applyNumberFormat="1" applyFont="1" applyFill="1" applyBorder="1" applyAlignment="1" applyProtection="1">
      <alignment horizontal="center" vertical="center"/>
      <protection hidden="1"/>
    </xf>
    <xf numFmtId="164" fontId="23" fillId="6" borderId="27" xfId="0" applyNumberFormat="1" applyFont="1" applyFill="1" applyBorder="1" applyAlignment="1" applyProtection="1">
      <alignment horizontal="center" vertical="center"/>
      <protection hidden="1"/>
    </xf>
    <xf numFmtId="0" fontId="14" fillId="7" borderId="0" xfId="0" applyFont="1" applyFill="1" applyBorder="1" applyAlignment="1" applyProtection="1">
      <alignment horizontal="center"/>
      <protection hidden="1"/>
    </xf>
    <xf numFmtId="164" fontId="14" fillId="7" borderId="0" xfId="0" applyNumberFormat="1" applyFont="1" applyFill="1" applyBorder="1" applyAlignment="1" applyProtection="1">
      <alignment horizontal="center"/>
      <protection hidden="1"/>
    </xf>
    <xf numFmtId="164" fontId="14" fillId="7" borderId="8" xfId="0" applyNumberFormat="1" applyFont="1" applyFill="1" applyBorder="1" applyAlignment="1" applyProtection="1">
      <alignment horizontal="center"/>
      <protection hidden="1"/>
    </xf>
    <xf numFmtId="0" fontId="2" fillId="0" borderId="0" xfId="0" applyFont="1" applyProtection="1">
      <protection hidden="1"/>
    </xf>
    <xf numFmtId="0" fontId="0" fillId="0" borderId="0" xfId="0" applyProtection="1">
      <protection hidden="1"/>
    </xf>
    <xf numFmtId="0" fontId="2" fillId="0" borderId="0" xfId="0" quotePrefix="1" applyFont="1" applyProtection="1">
      <protection hidden="1"/>
    </xf>
    <xf numFmtId="0" fontId="0" fillId="9" borderId="0" xfId="0" applyFill="1"/>
    <xf numFmtId="0" fontId="19" fillId="9" borderId="0" xfId="0" applyFont="1" applyFill="1" applyBorder="1" applyAlignment="1">
      <alignment vertical="center" wrapText="1"/>
    </xf>
    <xf numFmtId="0" fontId="68" fillId="9" borderId="0" xfId="0" applyFont="1" applyFill="1" applyProtection="1">
      <protection hidden="1"/>
    </xf>
    <xf numFmtId="0" fontId="5" fillId="9" borderId="0" xfId="0" applyFont="1" applyFill="1" applyAlignment="1" applyProtection="1">
      <protection hidden="1"/>
    </xf>
    <xf numFmtId="0" fontId="6" fillId="9" borderId="0" xfId="0" applyFont="1" applyFill="1" applyProtection="1">
      <protection hidden="1"/>
    </xf>
    <xf numFmtId="0" fontId="14" fillId="9" borderId="0" xfId="0" applyFont="1" applyFill="1" applyProtection="1">
      <protection hidden="1"/>
    </xf>
    <xf numFmtId="0" fontId="53" fillId="9" borderId="0" xfId="0" applyFont="1" applyFill="1" applyProtection="1">
      <protection hidden="1"/>
    </xf>
    <xf numFmtId="0" fontId="51" fillId="9" borderId="0" xfId="0" applyFont="1" applyFill="1" applyProtection="1">
      <protection hidden="1"/>
    </xf>
    <xf numFmtId="0" fontId="14" fillId="9" borderId="0" xfId="0" applyFont="1" applyFill="1" applyAlignment="1" applyProtection="1">
      <alignment horizontal="center"/>
      <protection hidden="1"/>
    </xf>
    <xf numFmtId="0" fontId="14" fillId="9" borderId="0" xfId="0" applyFont="1" applyFill="1" applyAlignment="1" applyProtection="1">
      <alignment vertical="center"/>
      <protection hidden="1"/>
    </xf>
    <xf numFmtId="0" fontId="6" fillId="9" borderId="0" xfId="0" applyFont="1" applyFill="1" applyAlignment="1" applyProtection="1">
      <alignment vertical="center"/>
      <protection hidden="1"/>
    </xf>
    <xf numFmtId="0" fontId="23" fillId="9" borderId="0" xfId="0" applyFont="1" applyFill="1" applyProtection="1">
      <protection hidden="1"/>
    </xf>
    <xf numFmtId="0" fontId="8" fillId="9" borderId="0" xfId="0" applyFont="1" applyFill="1" applyProtection="1">
      <protection hidden="1"/>
    </xf>
    <xf numFmtId="0" fontId="14" fillId="9" borderId="0" xfId="0" applyFont="1" applyFill="1" applyBorder="1" applyProtection="1">
      <protection hidden="1"/>
    </xf>
    <xf numFmtId="0" fontId="14" fillId="9" borderId="0" xfId="0" applyFont="1" applyFill="1" applyBorder="1" applyAlignment="1" applyProtection="1">
      <alignment horizontal="center" vertical="center"/>
      <protection hidden="1"/>
    </xf>
    <xf numFmtId="0" fontId="14" fillId="9" borderId="0" xfId="0" applyFont="1" applyFill="1" applyAlignment="1" applyProtection="1">
      <alignment horizontal="center" vertical="center"/>
      <protection hidden="1"/>
    </xf>
    <xf numFmtId="0" fontId="6" fillId="9" borderId="0" xfId="0" applyFont="1" applyFill="1" applyAlignment="1" applyProtection="1">
      <alignment horizontal="center" vertical="center"/>
      <protection hidden="1"/>
    </xf>
    <xf numFmtId="164" fontId="14" fillId="9" borderId="0" xfId="0" applyNumberFormat="1" applyFont="1" applyFill="1" applyProtection="1">
      <protection hidden="1"/>
    </xf>
    <xf numFmtId="164" fontId="14" fillId="9" borderId="0" xfId="0" applyNumberFormat="1" applyFont="1" applyFill="1" applyBorder="1" applyProtection="1">
      <protection hidden="1"/>
    </xf>
    <xf numFmtId="0" fontId="33" fillId="9" borderId="0" xfId="0" applyFont="1" applyFill="1" applyProtection="1">
      <protection hidden="1"/>
    </xf>
    <xf numFmtId="0" fontId="6" fillId="9" borderId="0" xfId="0" applyFont="1" applyFill="1" applyBorder="1" applyProtection="1">
      <protection hidden="1"/>
    </xf>
    <xf numFmtId="2" fontId="14" fillId="7" borderId="6" xfId="0" applyNumberFormat="1" applyFont="1" applyFill="1" applyBorder="1" applyAlignment="1" applyProtection="1">
      <alignment horizontal="center" vertical="center"/>
      <protection hidden="1"/>
    </xf>
    <xf numFmtId="1" fontId="14" fillId="6" borderId="6" xfId="0" applyNumberFormat="1" applyFont="1" applyFill="1" applyBorder="1" applyAlignment="1" applyProtection="1">
      <alignment horizontal="center" vertical="center"/>
      <protection hidden="1"/>
    </xf>
    <xf numFmtId="164" fontId="14" fillId="6" borderId="6" xfId="0" applyNumberFormat="1" applyFont="1" applyFill="1" applyBorder="1" applyAlignment="1" applyProtection="1">
      <alignment horizontal="center" vertical="center"/>
      <protection hidden="1"/>
    </xf>
    <xf numFmtId="49" fontId="44" fillId="3" borderId="0" xfId="0" applyNumberFormat="1"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center"/>
      <protection locked="0"/>
    </xf>
    <xf numFmtId="1" fontId="14" fillId="6" borderId="32" xfId="0" applyNumberFormat="1" applyFont="1" applyFill="1" applyBorder="1" applyAlignment="1" applyProtection="1">
      <alignment horizontal="center" vertical="center"/>
      <protection hidden="1"/>
    </xf>
    <xf numFmtId="164" fontId="14" fillId="6" borderId="32" xfId="0" applyNumberFormat="1" applyFont="1" applyFill="1" applyBorder="1" applyAlignment="1" applyProtection="1">
      <alignment horizontal="center" vertical="center"/>
      <protection hidden="1"/>
    </xf>
    <xf numFmtId="1" fontId="14" fillId="6" borderId="31" xfId="0" applyNumberFormat="1" applyFont="1" applyFill="1" applyBorder="1" applyAlignment="1" applyProtection="1">
      <alignment horizontal="center" vertical="center"/>
      <protection hidden="1"/>
    </xf>
    <xf numFmtId="164" fontId="14" fillId="6" borderId="31" xfId="0" applyNumberFormat="1" applyFont="1" applyFill="1" applyBorder="1" applyAlignment="1" applyProtection="1">
      <alignment horizontal="center" vertical="center"/>
      <protection hidden="1"/>
    </xf>
    <xf numFmtId="2" fontId="14" fillId="6" borderId="32" xfId="0" applyNumberFormat="1" applyFont="1" applyFill="1" applyBorder="1" applyAlignment="1" applyProtection="1">
      <alignment horizontal="center" vertical="center"/>
      <protection hidden="1"/>
    </xf>
    <xf numFmtId="2" fontId="14" fillId="3" borderId="32" xfId="0" applyNumberFormat="1" applyFont="1" applyFill="1" applyBorder="1" applyAlignment="1" applyProtection="1">
      <alignment horizontal="center" vertical="center"/>
      <protection locked="0"/>
    </xf>
    <xf numFmtId="0" fontId="14" fillId="3" borderId="32" xfId="0" applyFont="1" applyFill="1" applyBorder="1" applyAlignment="1" applyProtection="1">
      <alignment horizontal="center" vertical="center"/>
      <protection locked="0"/>
    </xf>
    <xf numFmtId="0" fontId="14" fillId="3" borderId="31" xfId="0" applyFont="1" applyFill="1" applyBorder="1" applyAlignment="1" applyProtection="1">
      <alignment horizontal="center" vertical="center"/>
      <protection locked="0"/>
    </xf>
    <xf numFmtId="164" fontId="14" fillId="6" borderId="35" xfId="0" applyNumberFormat="1" applyFont="1" applyFill="1" applyBorder="1" applyAlignment="1" applyProtection="1">
      <alignment horizontal="center" vertical="center"/>
      <protection hidden="1"/>
    </xf>
    <xf numFmtId="164" fontId="14" fillId="6" borderId="37" xfId="0" applyNumberFormat="1" applyFont="1" applyFill="1" applyBorder="1" applyAlignment="1" applyProtection="1">
      <alignment horizontal="center" vertical="center"/>
      <protection hidden="1"/>
    </xf>
    <xf numFmtId="164" fontId="14" fillId="6" borderId="38" xfId="0" applyNumberFormat="1" applyFont="1" applyFill="1" applyBorder="1" applyAlignment="1" applyProtection="1">
      <alignment horizontal="center" vertical="center"/>
      <protection hidden="1"/>
    </xf>
    <xf numFmtId="164" fontId="14" fillId="6" borderId="36" xfId="0" applyNumberFormat="1" applyFont="1" applyFill="1" applyBorder="1" applyAlignment="1" applyProtection="1">
      <alignment horizontal="center" vertical="center"/>
      <protection hidden="1"/>
    </xf>
    <xf numFmtId="164" fontId="14" fillId="6" borderId="39" xfId="0" applyNumberFormat="1" applyFont="1" applyFill="1" applyBorder="1" applyAlignment="1" applyProtection="1">
      <alignment horizontal="center" vertical="center"/>
      <protection hidden="1"/>
    </xf>
    <xf numFmtId="164" fontId="14" fillId="6" borderId="40" xfId="0" applyNumberFormat="1" applyFont="1" applyFill="1" applyBorder="1" applyAlignment="1" applyProtection="1">
      <alignment horizontal="center" vertical="center"/>
      <protection hidden="1"/>
    </xf>
    <xf numFmtId="164" fontId="14" fillId="6" borderId="41" xfId="0" applyNumberFormat="1" applyFont="1" applyFill="1" applyBorder="1" applyAlignment="1" applyProtection="1">
      <alignment horizontal="center" vertical="center"/>
      <protection hidden="1"/>
    </xf>
    <xf numFmtId="164" fontId="14" fillId="6" borderId="42" xfId="0" applyNumberFormat="1" applyFont="1" applyFill="1" applyBorder="1" applyAlignment="1" applyProtection="1">
      <alignment horizontal="center" vertical="center"/>
      <protection hidden="1"/>
    </xf>
    <xf numFmtId="0" fontId="14" fillId="7" borderId="38" xfId="0" applyFont="1" applyFill="1" applyBorder="1" applyProtection="1">
      <protection hidden="1"/>
    </xf>
    <xf numFmtId="164" fontId="23" fillId="6" borderId="31" xfId="0" applyNumberFormat="1" applyFont="1" applyFill="1" applyBorder="1" applyAlignment="1" applyProtection="1">
      <alignment horizontal="center" vertical="center"/>
      <protection hidden="1"/>
    </xf>
    <xf numFmtId="164" fontId="23" fillId="6" borderId="41" xfId="0" applyNumberFormat="1" applyFont="1" applyFill="1" applyBorder="1" applyAlignment="1" applyProtection="1">
      <alignment horizontal="center" vertical="center"/>
      <protection hidden="1"/>
    </xf>
    <xf numFmtId="164" fontId="23" fillId="6" borderId="39" xfId="0" applyNumberFormat="1" applyFont="1" applyFill="1" applyBorder="1" applyAlignment="1" applyProtection="1">
      <alignment horizontal="center" vertical="center"/>
      <protection hidden="1"/>
    </xf>
    <xf numFmtId="1" fontId="14" fillId="3" borderId="46" xfId="0" applyNumberFormat="1" applyFont="1" applyFill="1" applyBorder="1" applyAlignment="1" applyProtection="1">
      <alignment horizontal="center" vertical="center"/>
      <protection locked="0"/>
    </xf>
    <xf numFmtId="1" fontId="14" fillId="3" borderId="31" xfId="0" applyNumberFormat="1" applyFont="1" applyFill="1" applyBorder="1" applyAlignment="1" applyProtection="1">
      <alignment horizontal="center" vertical="center"/>
      <protection locked="0"/>
    </xf>
    <xf numFmtId="0" fontId="3" fillId="9" borderId="0" xfId="1" quotePrefix="1" applyFill="1" applyAlignment="1" applyProtection="1">
      <protection hidden="1"/>
    </xf>
    <xf numFmtId="0" fontId="2" fillId="7" borderId="0" xfId="0" applyFont="1" applyFill="1" applyProtection="1">
      <protection hidden="1"/>
    </xf>
    <xf numFmtId="0" fontId="69" fillId="8" borderId="0" xfId="1" applyFont="1" applyFill="1" applyAlignment="1" applyProtection="1">
      <alignment horizontal="center" vertical="center"/>
    </xf>
    <xf numFmtId="0" fontId="0" fillId="7" borderId="0" xfId="0" applyFill="1" applyProtection="1">
      <protection hidden="1"/>
    </xf>
    <xf numFmtId="0" fontId="49" fillId="0" borderId="0" xfId="0" applyFont="1" applyFill="1" applyBorder="1" applyAlignment="1" applyProtection="1">
      <alignment horizontal="center" vertical="center"/>
      <protection hidden="1"/>
    </xf>
    <xf numFmtId="0" fontId="49" fillId="8" borderId="0" xfId="0" applyFont="1" applyFill="1" applyBorder="1" applyAlignment="1" applyProtection="1">
      <alignment horizontal="center" vertical="center"/>
      <protection hidden="1"/>
    </xf>
    <xf numFmtId="0" fontId="0" fillId="9" borderId="0" xfId="0" applyFill="1" applyProtection="1">
      <protection hidden="1"/>
    </xf>
    <xf numFmtId="2" fontId="14" fillId="9" borderId="0" xfId="0" applyNumberFormat="1" applyFont="1" applyFill="1" applyProtection="1">
      <protection hidden="1"/>
    </xf>
    <xf numFmtId="164" fontId="14" fillId="6" borderId="9" xfId="2" applyNumberFormat="1" applyFont="1" applyFill="1" applyBorder="1" applyAlignment="1" applyProtection="1">
      <alignment horizontal="center"/>
      <protection hidden="1"/>
    </xf>
    <xf numFmtId="164" fontId="14" fillId="6" borderId="10" xfId="2" applyNumberFormat="1" applyFont="1" applyFill="1" applyBorder="1" applyAlignment="1" applyProtection="1">
      <alignment horizontal="center"/>
      <protection hidden="1"/>
    </xf>
    <xf numFmtId="166" fontId="14" fillId="9" borderId="0" xfId="0" applyNumberFormat="1" applyFont="1" applyFill="1" applyBorder="1" applyProtection="1">
      <protection hidden="1"/>
    </xf>
    <xf numFmtId="0" fontId="14" fillId="9" borderId="0" xfId="0" applyNumberFormat="1" applyFont="1" applyFill="1" applyProtection="1">
      <protection hidden="1"/>
    </xf>
    <xf numFmtId="0" fontId="14" fillId="9" borderId="0" xfId="0" applyNumberFormat="1" applyFont="1" applyFill="1" applyBorder="1" applyProtection="1">
      <protection hidden="1"/>
    </xf>
    <xf numFmtId="0" fontId="23" fillId="3" borderId="0" xfId="0" applyFont="1" applyFill="1" applyBorder="1" applyAlignment="1" applyProtection="1">
      <alignment horizontal="center" vertical="center"/>
      <protection locked="0"/>
    </xf>
    <xf numFmtId="2" fontId="23" fillId="6" borderId="0" xfId="0" applyNumberFormat="1" applyFont="1" applyFill="1" applyBorder="1" applyAlignment="1" applyProtection="1">
      <alignment horizontal="center" vertical="center"/>
      <protection hidden="1"/>
    </xf>
    <xf numFmtId="0" fontId="23" fillId="7" borderId="0" xfId="0" quotePrefix="1" applyFont="1" applyFill="1" applyBorder="1" applyAlignment="1" applyProtection="1">
      <alignment horizontal="left" indent="6"/>
      <protection hidden="1"/>
    </xf>
    <xf numFmtId="0" fontId="14" fillId="0" borderId="19" xfId="0" applyFont="1" applyBorder="1" applyAlignment="1" applyProtection="1">
      <alignment horizontal="left" vertical="center" indent="1"/>
      <protection hidden="1"/>
    </xf>
    <xf numFmtId="0" fontId="71" fillId="7" borderId="0" xfId="0" applyFont="1" applyFill="1" applyBorder="1" applyAlignment="1" applyProtection="1">
      <alignment horizontal="left" vertical="center"/>
      <protection hidden="1"/>
    </xf>
    <xf numFmtId="0" fontId="73" fillId="7" borderId="0" xfId="0" applyFont="1" applyFill="1" applyAlignment="1" applyProtection="1">
      <alignment vertical="center"/>
      <protection hidden="1"/>
    </xf>
    <xf numFmtId="0" fontId="74" fillId="7" borderId="0" xfId="0" applyFont="1" applyFill="1" applyProtection="1">
      <protection hidden="1"/>
    </xf>
    <xf numFmtId="169" fontId="74" fillId="3" borderId="12" xfId="0" applyNumberFormat="1" applyFont="1" applyFill="1" applyBorder="1" applyAlignment="1" applyProtection="1">
      <alignment horizontal="center" vertical="center"/>
      <protection locked="0"/>
    </xf>
    <xf numFmtId="0" fontId="74" fillId="7" borderId="10" xfId="0" applyFont="1" applyFill="1" applyBorder="1" applyProtection="1">
      <protection hidden="1"/>
    </xf>
    <xf numFmtId="0" fontId="23" fillId="7" borderId="0" xfId="0" applyFont="1" applyFill="1" applyBorder="1" applyAlignment="1" applyProtection="1">
      <alignment horizontal="right" vertical="center" indent="1"/>
      <protection hidden="1"/>
    </xf>
    <xf numFmtId="0" fontId="23" fillId="0" borderId="0" xfId="0" applyFont="1" applyAlignment="1" applyProtection="1">
      <alignment horizontal="right" vertical="center"/>
      <protection hidden="1"/>
    </xf>
    <xf numFmtId="0" fontId="53" fillId="7" borderId="0" xfId="0" applyFont="1" applyFill="1" applyAlignment="1" applyProtection="1">
      <protection hidden="1"/>
    </xf>
    <xf numFmtId="0" fontId="14" fillId="0" borderId="0" xfId="0" applyFont="1"/>
    <xf numFmtId="0" fontId="27" fillId="0" borderId="1" xfId="0" applyFont="1" applyBorder="1"/>
    <xf numFmtId="0" fontId="27" fillId="0" borderId="1" xfId="0" applyFont="1" applyBorder="1" applyProtection="1">
      <protection hidden="1"/>
    </xf>
    <xf numFmtId="165" fontId="14" fillId="0" borderId="0" xfId="0" applyNumberFormat="1" applyFont="1"/>
    <xf numFmtId="1" fontId="14" fillId="0" borderId="0" xfId="0" applyNumberFormat="1" applyFont="1" applyProtection="1">
      <protection hidden="1"/>
    </xf>
    <xf numFmtId="0" fontId="27" fillId="0" borderId="0" xfId="0" applyFont="1"/>
    <xf numFmtId="168" fontId="14" fillId="0" borderId="0" xfId="0" applyNumberFormat="1" applyFont="1" applyProtection="1">
      <protection hidden="1"/>
    </xf>
    <xf numFmtId="0" fontId="25" fillId="3" borderId="11"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protection locked="0" hidden="1"/>
    </xf>
    <xf numFmtId="0" fontId="25" fillId="3" borderId="0" xfId="0" applyFont="1" applyFill="1" applyBorder="1" applyAlignment="1" applyProtection="1">
      <alignment horizontal="center" vertical="center"/>
      <protection locked="0" hidden="1"/>
    </xf>
    <xf numFmtId="0" fontId="27" fillId="3" borderId="0" xfId="0" applyFont="1" applyFill="1" applyBorder="1" applyAlignment="1" applyProtection="1">
      <alignment horizontal="center" vertical="center"/>
      <protection locked="0"/>
    </xf>
    <xf numFmtId="164" fontId="23" fillId="4" borderId="37" xfId="0" applyNumberFormat="1" applyFont="1" applyFill="1" applyBorder="1" applyAlignment="1" applyProtection="1">
      <alignment horizontal="center" vertical="center"/>
      <protection hidden="1"/>
    </xf>
    <xf numFmtId="164" fontId="23" fillId="4" borderId="24" xfId="0" applyNumberFormat="1" applyFont="1" applyFill="1" applyBorder="1" applyAlignment="1" applyProtection="1">
      <alignment horizontal="center" vertical="center"/>
      <protection hidden="1"/>
    </xf>
    <xf numFmtId="0" fontId="42" fillId="7" borderId="0" xfId="1" quotePrefix="1" applyFont="1" applyFill="1" applyBorder="1" applyAlignment="1" applyProtection="1">
      <alignment vertical="center"/>
      <protection hidden="1"/>
    </xf>
    <xf numFmtId="0" fontId="25" fillId="7" borderId="0" xfId="0" applyFont="1" applyFill="1" applyBorder="1" applyAlignment="1" applyProtection="1">
      <alignment horizontal="right" vertical="center" wrapText="1" indent="1"/>
      <protection hidden="1"/>
    </xf>
    <xf numFmtId="0" fontId="38" fillId="7" borderId="2" xfId="0" applyFont="1" applyFill="1" applyBorder="1" applyAlignment="1" applyProtection="1">
      <alignment horizontal="center" vertical="center" wrapText="1"/>
      <protection hidden="1"/>
    </xf>
    <xf numFmtId="1" fontId="14" fillId="3" borderId="44" xfId="0" applyNumberFormat="1" applyFont="1" applyFill="1" applyBorder="1" applyAlignment="1" applyProtection="1">
      <alignment horizontal="center" vertical="center"/>
      <protection locked="0"/>
    </xf>
    <xf numFmtId="1" fontId="14" fillId="3" borderId="2" xfId="0" applyNumberFormat="1" applyFont="1" applyFill="1" applyBorder="1" applyAlignment="1" applyProtection="1">
      <alignment horizontal="center" vertical="center"/>
      <protection locked="0"/>
    </xf>
    <xf numFmtId="1" fontId="14" fillId="3" borderId="32" xfId="0" applyNumberFormat="1" applyFont="1" applyFill="1" applyBorder="1" applyAlignment="1" applyProtection="1">
      <alignment horizontal="center" vertical="center"/>
      <protection locked="0"/>
    </xf>
    <xf numFmtId="1" fontId="14" fillId="3" borderId="6" xfId="0" applyNumberFormat="1" applyFont="1" applyFill="1" applyBorder="1" applyAlignment="1" applyProtection="1">
      <alignment horizontal="center" vertical="center"/>
      <protection locked="0"/>
    </xf>
    <xf numFmtId="1" fontId="14" fillId="3" borderId="35" xfId="0" applyNumberFormat="1" applyFont="1" applyFill="1" applyBorder="1" applyAlignment="1" applyProtection="1">
      <alignment horizontal="center" vertical="center"/>
      <protection locked="0"/>
    </xf>
    <xf numFmtId="1" fontId="14" fillId="3" borderId="39" xfId="0" applyNumberFormat="1" applyFont="1" applyFill="1" applyBorder="1" applyAlignment="1" applyProtection="1">
      <alignment horizontal="center" vertical="center"/>
      <protection locked="0"/>
    </xf>
    <xf numFmtId="1" fontId="14" fillId="3" borderId="8" xfId="0" applyNumberFormat="1" applyFont="1" applyFill="1" applyBorder="1" applyAlignment="1" applyProtection="1">
      <alignment horizontal="center" vertical="center"/>
      <protection locked="0"/>
    </xf>
    <xf numFmtId="1" fontId="14" fillId="6" borderId="43" xfId="0" applyNumberFormat="1" applyFont="1" applyFill="1" applyBorder="1" applyAlignment="1" applyProtection="1">
      <alignment horizontal="center" vertical="center"/>
      <protection hidden="1"/>
    </xf>
    <xf numFmtId="1" fontId="14" fillId="6" borderId="45" xfId="0" applyNumberFormat="1" applyFont="1" applyFill="1" applyBorder="1" applyAlignment="1" applyProtection="1">
      <alignment horizontal="center" vertical="center"/>
      <protection hidden="1"/>
    </xf>
    <xf numFmtId="1" fontId="14" fillId="6" borderId="19" xfId="0" applyNumberFormat="1" applyFont="1" applyFill="1" applyBorder="1" applyAlignment="1" applyProtection="1">
      <alignment horizontal="center" vertical="center"/>
      <protection hidden="1"/>
    </xf>
    <xf numFmtId="0" fontId="14" fillId="0" borderId="0" xfId="0" applyFont="1" applyProtection="1"/>
    <xf numFmtId="0" fontId="14" fillId="0" borderId="8" xfId="0" applyFont="1" applyBorder="1" applyProtection="1"/>
    <xf numFmtId="164" fontId="14" fillId="0" borderId="8" xfId="0" applyNumberFormat="1" applyFont="1" applyBorder="1" applyProtection="1"/>
    <xf numFmtId="165" fontId="14" fillId="0" borderId="8" xfId="0" applyNumberFormat="1" applyFont="1" applyBorder="1" applyProtection="1"/>
    <xf numFmtId="0" fontId="14" fillId="0" borderId="0" xfId="0" applyFont="1" applyFill="1" applyBorder="1" applyProtection="1"/>
    <xf numFmtId="1" fontId="14" fillId="0" borderId="0" xfId="0" applyNumberFormat="1" applyFont="1" applyAlignment="1" applyProtection="1">
      <alignment horizontal="left"/>
    </xf>
    <xf numFmtId="164" fontId="14" fillId="0" borderId="0" xfId="0" applyNumberFormat="1" applyFont="1" applyProtection="1"/>
    <xf numFmtId="165" fontId="14" fillId="0" borderId="0" xfId="0" applyNumberFormat="1" applyFont="1" applyProtection="1"/>
    <xf numFmtId="167" fontId="14" fillId="0" borderId="0" xfId="0" applyNumberFormat="1" applyFont="1" applyProtection="1"/>
    <xf numFmtId="11" fontId="14" fillId="0" borderId="0" xfId="0" applyNumberFormat="1" applyFont="1" applyProtection="1"/>
    <xf numFmtId="164" fontId="14" fillId="3" borderId="30" xfId="0" applyNumberFormat="1" applyFont="1" applyFill="1" applyBorder="1" applyAlignment="1" applyProtection="1">
      <alignment horizontal="center"/>
      <protection locked="0"/>
    </xf>
    <xf numFmtId="165" fontId="14" fillId="3" borderId="5" xfId="0" applyNumberFormat="1" applyFont="1" applyFill="1" applyBorder="1" applyAlignment="1" applyProtection="1">
      <alignment horizontal="center"/>
      <protection locked="0"/>
    </xf>
    <xf numFmtId="165" fontId="14" fillId="3" borderId="31" xfId="0" applyNumberFormat="1" applyFont="1" applyFill="1" applyBorder="1" applyAlignment="1" applyProtection="1">
      <alignment horizontal="center"/>
      <protection locked="0"/>
    </xf>
    <xf numFmtId="165" fontId="14" fillId="3" borderId="6" xfId="0" applyNumberFormat="1" applyFont="1" applyFill="1" applyBorder="1" applyAlignment="1" applyProtection="1">
      <alignment horizontal="center"/>
      <protection locked="0"/>
    </xf>
    <xf numFmtId="0" fontId="39" fillId="7" borderId="2" xfId="0" applyFont="1" applyFill="1" applyBorder="1" applyAlignment="1" applyProtection="1">
      <alignment horizontal="left" vertical="center" indent="4"/>
      <protection hidden="1"/>
    </xf>
    <xf numFmtId="0" fontId="39" fillId="7" borderId="2" xfId="0" applyFont="1" applyFill="1" applyBorder="1" applyAlignment="1" applyProtection="1">
      <alignment horizontal="left" vertical="center" indent="3"/>
      <protection hidden="1"/>
    </xf>
    <xf numFmtId="0" fontId="39" fillId="7" borderId="0" xfId="0" applyFont="1" applyFill="1" applyBorder="1" applyAlignment="1" applyProtection="1">
      <alignment horizontal="left" vertical="center" indent="5"/>
      <protection hidden="1"/>
    </xf>
    <xf numFmtId="0" fontId="39" fillId="7" borderId="0" xfId="0" applyFont="1" applyFill="1" applyBorder="1" applyAlignment="1" applyProtection="1">
      <alignment horizontal="left" vertical="center" indent="3"/>
      <protection hidden="1"/>
    </xf>
    <xf numFmtId="0" fontId="39" fillId="7" borderId="6" xfId="0" applyFont="1" applyFill="1" applyBorder="1" applyAlignment="1" applyProtection="1">
      <alignment horizontal="center"/>
      <protection hidden="1"/>
    </xf>
    <xf numFmtId="0" fontId="34" fillId="7" borderId="0" xfId="0" applyFont="1" applyFill="1" applyProtection="1">
      <protection hidden="1"/>
    </xf>
    <xf numFmtId="0" fontId="25" fillId="6" borderId="10" xfId="0" applyFont="1" applyFill="1" applyBorder="1" applyAlignment="1" applyProtection="1">
      <alignment horizontal="center" vertical="center"/>
      <protection hidden="1"/>
    </xf>
    <xf numFmtId="2" fontId="14" fillId="6" borderId="6" xfId="0" applyNumberFormat="1" applyFont="1" applyFill="1" applyBorder="1" applyAlignment="1" applyProtection="1">
      <alignment horizontal="center"/>
      <protection hidden="1"/>
    </xf>
    <xf numFmtId="164" fontId="14" fillId="6" borderId="6" xfId="0" applyNumberFormat="1" applyFont="1" applyFill="1" applyBorder="1" applyAlignment="1" applyProtection="1">
      <alignment horizontal="center"/>
      <protection hidden="1"/>
    </xf>
    <xf numFmtId="0" fontId="10" fillId="7" borderId="0" xfId="0" applyFont="1" applyFill="1" applyAlignment="1" applyProtection="1">
      <alignment horizontal="left" indent="2"/>
      <protection hidden="1"/>
    </xf>
    <xf numFmtId="0" fontId="1" fillId="7" borderId="0" xfId="0" applyFont="1" applyFill="1" applyAlignment="1" applyProtection="1">
      <alignment horizontal="left" indent="2"/>
      <protection hidden="1"/>
    </xf>
    <xf numFmtId="0" fontId="2" fillId="7" borderId="0" xfId="0" applyFont="1" applyFill="1" applyAlignment="1" applyProtection="1">
      <protection hidden="1"/>
    </xf>
    <xf numFmtId="0" fontId="0" fillId="7" borderId="0" xfId="0" applyFill="1" applyAlignment="1" applyProtection="1">
      <alignment horizontal="left" indent="2"/>
      <protection hidden="1"/>
    </xf>
    <xf numFmtId="0" fontId="14" fillId="7" borderId="0" xfId="0" applyFont="1" applyFill="1" applyBorder="1" applyAlignment="1" applyProtection="1">
      <alignment horizontal="center" vertical="center" wrapText="1"/>
      <protection hidden="1"/>
    </xf>
    <xf numFmtId="0" fontId="53" fillId="7" borderId="0" xfId="0" applyFont="1" applyFill="1" applyAlignment="1" applyProtection="1">
      <alignment horizontal="left"/>
      <protection hidden="1"/>
    </xf>
    <xf numFmtId="0" fontId="80" fillId="7" borderId="0" xfId="0" applyFont="1" applyFill="1" applyProtection="1">
      <protection hidden="1"/>
    </xf>
    <xf numFmtId="0" fontId="0" fillId="9" borderId="0" xfId="0" applyFill="1" applyAlignment="1" applyProtection="1">
      <protection locked="0" hidden="1"/>
    </xf>
    <xf numFmtId="0" fontId="25" fillId="7" borderId="0" xfId="0" applyFont="1" applyFill="1" applyBorder="1" applyAlignment="1" applyProtection="1">
      <alignment horizontal="right" vertical="center" wrapText="1" indent="1"/>
      <protection hidden="1"/>
    </xf>
    <xf numFmtId="0" fontId="23" fillId="7" borderId="0" xfId="0" quotePrefix="1" applyFont="1" applyFill="1" applyBorder="1" applyAlignment="1" applyProtection="1">
      <alignment horizontal="left" indent="6"/>
      <protection hidden="1"/>
    </xf>
    <xf numFmtId="0" fontId="42" fillId="7" borderId="0" xfId="1" quotePrefix="1" applyFont="1" applyFill="1" applyBorder="1" applyAlignment="1" applyProtection="1">
      <alignment horizontal="left" vertical="center" indent="1"/>
      <protection hidden="1"/>
    </xf>
    <xf numFmtId="0" fontId="38" fillId="7" borderId="8" xfId="0" applyFont="1" applyFill="1" applyBorder="1" applyAlignment="1" applyProtection="1">
      <alignment horizontal="center" vertical="center" wrapText="1"/>
      <protection hidden="1"/>
    </xf>
    <xf numFmtId="0" fontId="38" fillId="7" borderId="0" xfId="0" applyFont="1" applyFill="1" applyBorder="1" applyAlignment="1" applyProtection="1">
      <alignment horizontal="center" vertical="center" wrapText="1"/>
      <protection hidden="1"/>
    </xf>
    <xf numFmtId="0" fontId="38" fillId="7" borderId="2" xfId="0" applyFont="1" applyFill="1" applyBorder="1" applyAlignment="1" applyProtection="1">
      <alignment horizontal="center" vertical="center" wrapText="1"/>
      <protection hidden="1"/>
    </xf>
    <xf numFmtId="0" fontId="14" fillId="0" borderId="5" xfId="0" applyFont="1" applyBorder="1" applyAlignment="1" applyProtection="1">
      <alignment horizontal="left" indent="1"/>
      <protection hidden="1"/>
    </xf>
    <xf numFmtId="0" fontId="14" fillId="0" borderId="1" xfId="0" applyFont="1" applyBorder="1" applyAlignment="1" applyProtection="1">
      <alignment horizontal="left" indent="1"/>
      <protection hidden="1"/>
    </xf>
    <xf numFmtId="0" fontId="14" fillId="0" borderId="3" xfId="0" applyFont="1" applyBorder="1" applyAlignment="1" applyProtection="1">
      <alignment horizontal="left" indent="1"/>
      <protection hidden="1"/>
    </xf>
    <xf numFmtId="0" fontId="52" fillId="7" borderId="0" xfId="1" applyFont="1" applyFill="1" applyAlignment="1" applyProtection="1">
      <alignment horizontal="left"/>
      <protection hidden="1"/>
    </xf>
    <xf numFmtId="0" fontId="14" fillId="7" borderId="8" xfId="0" applyFont="1" applyFill="1" applyBorder="1" applyAlignment="1" applyProtection="1">
      <alignment horizontal="center" wrapText="1"/>
      <protection hidden="1"/>
    </xf>
    <xf numFmtId="0" fontId="14" fillId="7" borderId="8" xfId="0" applyFont="1" applyFill="1" applyBorder="1" applyAlignment="1" applyProtection="1">
      <alignment horizontal="center" vertical="center"/>
      <protection hidden="1"/>
    </xf>
    <xf numFmtId="0" fontId="61" fillId="7" borderId="8" xfId="0" applyFont="1" applyFill="1" applyBorder="1" applyAlignment="1" applyProtection="1">
      <alignment horizontal="left" vertical="center" indent="2"/>
      <protection hidden="1"/>
    </xf>
    <xf numFmtId="0" fontId="61" fillId="7" borderId="2" xfId="0" applyFont="1" applyFill="1" applyBorder="1" applyAlignment="1" applyProtection="1">
      <alignment horizontal="left" vertical="center" indent="2"/>
      <protection hidden="1"/>
    </xf>
    <xf numFmtId="0" fontId="14" fillId="6" borderId="49" xfId="0" applyFont="1" applyFill="1" applyBorder="1" applyAlignment="1" applyProtection="1">
      <alignment horizontal="center" vertical="center"/>
      <protection hidden="1"/>
    </xf>
    <xf numFmtId="0" fontId="14" fillId="6" borderId="48" xfId="0" applyFont="1" applyFill="1" applyBorder="1" applyAlignment="1" applyProtection="1">
      <alignment horizontal="center" vertical="center"/>
      <protection hidden="1"/>
    </xf>
    <xf numFmtId="0" fontId="14" fillId="6" borderId="24" xfId="0" applyFont="1" applyFill="1" applyBorder="1" applyAlignment="1" applyProtection="1">
      <alignment horizontal="center" vertical="center"/>
      <protection hidden="1"/>
    </xf>
    <xf numFmtId="0" fontId="14" fillId="0" borderId="5" xfId="0" applyFont="1" applyFill="1" applyBorder="1" applyAlignment="1" applyProtection="1">
      <alignment horizontal="left" indent="1"/>
      <protection hidden="1"/>
    </xf>
    <xf numFmtId="0" fontId="14" fillId="0" borderId="3" xfId="0" applyFont="1" applyFill="1" applyBorder="1" applyAlignment="1" applyProtection="1">
      <alignment horizontal="left" indent="1"/>
      <protection hidden="1"/>
    </xf>
    <xf numFmtId="0" fontId="38" fillId="7" borderId="6" xfId="0" applyFont="1" applyFill="1" applyBorder="1" applyAlignment="1" applyProtection="1">
      <alignment horizontal="left" vertical="center"/>
      <protection hidden="1"/>
    </xf>
    <xf numFmtId="0" fontId="38" fillId="7" borderId="6" xfId="0" applyFont="1" applyFill="1" applyBorder="1" applyAlignment="1" applyProtection="1">
      <alignment horizontal="center" vertical="center"/>
      <protection hidden="1"/>
    </xf>
    <xf numFmtId="0" fontId="14" fillId="7" borderId="6" xfId="0" applyFont="1" applyFill="1" applyBorder="1" applyAlignment="1" applyProtection="1">
      <alignment horizontal="center"/>
      <protection hidden="1"/>
    </xf>
    <xf numFmtId="0" fontId="14" fillId="7" borderId="5" xfId="0" applyFont="1" applyFill="1" applyBorder="1" applyAlignment="1" applyProtection="1">
      <alignment horizontal="center"/>
      <protection hidden="1"/>
    </xf>
    <xf numFmtId="0" fontId="14" fillId="3" borderId="5"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14" fillId="3" borderId="30" xfId="0" applyFont="1" applyFill="1" applyBorder="1" applyAlignment="1" applyProtection="1">
      <alignment horizontal="center" vertical="center"/>
      <protection locked="0"/>
    </xf>
    <xf numFmtId="0" fontId="14" fillId="7" borderId="0" xfId="0" applyFont="1" applyFill="1" applyAlignment="1" applyProtection="1">
      <alignment horizontal="center" vertical="center" wrapText="1"/>
      <protection hidden="1"/>
    </xf>
    <xf numFmtId="0" fontId="38" fillId="7" borderId="7" xfId="0" applyFont="1" applyFill="1" applyBorder="1" applyAlignment="1" applyProtection="1">
      <alignment horizontal="center"/>
      <protection hidden="1"/>
    </xf>
    <xf numFmtId="0" fontId="38" fillId="7" borderId="4" xfId="0" applyFont="1" applyFill="1" applyBorder="1" applyAlignment="1" applyProtection="1">
      <alignment horizontal="center"/>
      <protection hidden="1"/>
    </xf>
    <xf numFmtId="0" fontId="23" fillId="7" borderId="0" xfId="0" quotePrefix="1" applyFont="1" applyFill="1" applyBorder="1" applyAlignment="1" applyProtection="1">
      <alignment horizontal="left" vertical="center" wrapText="1" indent="1"/>
      <protection hidden="1"/>
    </xf>
    <xf numFmtId="0" fontId="19" fillId="7" borderId="14" xfId="0" applyFont="1" applyFill="1" applyBorder="1" applyAlignment="1" applyProtection="1">
      <alignment horizontal="center" vertical="center" wrapText="1"/>
      <protection hidden="1"/>
    </xf>
    <xf numFmtId="0" fontId="23" fillId="6" borderId="0" xfId="0" applyFont="1" applyFill="1" applyBorder="1" applyAlignment="1" applyProtection="1">
      <alignment horizontal="center" vertical="center"/>
      <protection hidden="1"/>
    </xf>
    <xf numFmtId="0" fontId="23" fillId="6" borderId="25" xfId="0" applyFont="1" applyFill="1" applyBorder="1" applyAlignment="1" applyProtection="1">
      <alignment horizontal="center" vertical="center"/>
      <protection hidden="1"/>
    </xf>
    <xf numFmtId="0" fontId="26" fillId="7" borderId="0" xfId="0" applyFont="1" applyFill="1" applyBorder="1" applyAlignment="1" applyProtection="1">
      <alignment horizontal="right" vertical="center"/>
      <protection hidden="1"/>
    </xf>
    <xf numFmtId="0" fontId="73" fillId="3" borderId="10" xfId="0" applyNumberFormat="1" applyFont="1" applyFill="1" applyBorder="1" applyAlignment="1" applyProtection="1">
      <alignment horizontal="left" vertical="center" indent="1"/>
      <protection locked="0"/>
    </xf>
    <xf numFmtId="0" fontId="73" fillId="3" borderId="13" xfId="0" applyNumberFormat="1" applyFont="1" applyFill="1" applyBorder="1" applyAlignment="1" applyProtection="1">
      <alignment horizontal="left" vertical="center" indent="1"/>
      <protection locked="0"/>
    </xf>
    <xf numFmtId="0" fontId="38" fillId="7" borderId="6" xfId="1" applyFont="1" applyFill="1" applyBorder="1" applyAlignment="1" applyProtection="1">
      <alignment horizontal="left" vertical="center" indent="1"/>
      <protection hidden="1"/>
    </xf>
    <xf numFmtId="0" fontId="37" fillId="7" borderId="5" xfId="0" applyFont="1" applyFill="1" applyBorder="1" applyAlignment="1" applyProtection="1">
      <alignment horizontal="left" indent="1"/>
      <protection hidden="1"/>
    </xf>
    <xf numFmtId="0" fontId="37" fillId="7" borderId="1" xfId="0" applyFont="1" applyFill="1" applyBorder="1" applyAlignment="1" applyProtection="1">
      <alignment horizontal="left" indent="1"/>
      <protection hidden="1"/>
    </xf>
    <xf numFmtId="0" fontId="37" fillId="7" borderId="3" xfId="0" applyFont="1" applyFill="1" applyBorder="1" applyAlignment="1" applyProtection="1">
      <alignment horizontal="left" indent="1"/>
      <protection hidden="1"/>
    </xf>
    <xf numFmtId="1" fontId="56" fillId="7" borderId="2" xfId="0" applyNumberFormat="1" applyFont="1" applyFill="1" applyBorder="1" applyAlignment="1" applyProtection="1">
      <alignment horizontal="center"/>
      <protection hidden="1"/>
    </xf>
    <xf numFmtId="0" fontId="14" fillId="3" borderId="10" xfId="0" applyFont="1" applyFill="1" applyBorder="1" applyAlignment="1" applyProtection="1">
      <alignment horizontal="left" vertical="center" wrapText="1"/>
      <protection locked="0"/>
    </xf>
    <xf numFmtId="0" fontId="14" fillId="7" borderId="0" xfId="0" applyFont="1" applyFill="1" applyBorder="1" applyAlignment="1" applyProtection="1">
      <alignment horizontal="center" vertical="center" wrapText="1"/>
      <protection hidden="1"/>
    </xf>
    <xf numFmtId="0" fontId="38" fillId="7" borderId="0" xfId="0" applyFont="1" applyFill="1" applyBorder="1" applyAlignment="1" applyProtection="1">
      <alignment horizontal="right" vertical="center"/>
      <protection hidden="1"/>
    </xf>
    <xf numFmtId="0" fontId="16" fillId="7" borderId="0" xfId="0" applyFont="1" applyFill="1" applyBorder="1" applyAlignment="1" applyProtection="1">
      <alignment horizontal="left" vertical="center" wrapText="1"/>
      <protection hidden="1"/>
    </xf>
    <xf numFmtId="0" fontId="25" fillId="7" borderId="0" xfId="0" applyFont="1" applyFill="1" applyBorder="1" applyAlignment="1" applyProtection="1">
      <alignment horizontal="right" vertical="center" wrapText="1" indent="1"/>
      <protection hidden="1"/>
    </xf>
    <xf numFmtId="0" fontId="25" fillId="7" borderId="2" xfId="0" applyFont="1" applyFill="1" applyBorder="1" applyAlignment="1" applyProtection="1">
      <alignment horizontal="right" vertical="center" wrapText="1" indent="1"/>
      <protection hidden="1"/>
    </xf>
    <xf numFmtId="0" fontId="25" fillId="3" borderId="2" xfId="0" applyFont="1" applyFill="1" applyBorder="1" applyAlignment="1" applyProtection="1">
      <alignment horizontal="center"/>
      <protection locked="0" hidden="1"/>
    </xf>
    <xf numFmtId="0" fontId="14" fillId="7" borderId="0" xfId="0" applyFont="1" applyFill="1" applyBorder="1" applyAlignment="1" applyProtection="1">
      <alignment horizontal="center"/>
      <protection hidden="1"/>
    </xf>
    <xf numFmtId="0" fontId="38" fillId="7" borderId="6" xfId="0" applyFont="1" applyFill="1" applyBorder="1" applyAlignment="1" applyProtection="1">
      <alignment horizontal="center" vertical="center" wrapText="1"/>
      <protection hidden="1"/>
    </xf>
    <xf numFmtId="0" fontId="23" fillId="3" borderId="0" xfId="0" applyFont="1" applyFill="1" applyBorder="1" applyAlignment="1" applyProtection="1">
      <alignment horizontal="center" vertical="center"/>
      <protection locked="0"/>
    </xf>
    <xf numFmtId="0" fontId="14" fillId="3" borderId="28" xfId="0" applyFont="1" applyFill="1" applyBorder="1" applyAlignment="1" applyProtection="1">
      <alignment horizontal="left" vertical="top" wrapText="1"/>
      <protection locked="0"/>
    </xf>
    <xf numFmtId="0" fontId="14" fillId="3" borderId="0" xfId="0" applyFont="1" applyFill="1" applyBorder="1" applyAlignment="1" applyProtection="1">
      <alignment horizontal="left" vertical="top" wrapText="1"/>
      <protection locked="0"/>
    </xf>
    <xf numFmtId="0" fontId="23" fillId="7" borderId="0" xfId="0" applyFont="1" applyFill="1" applyBorder="1" applyAlignment="1" applyProtection="1">
      <alignment horizontal="center" vertical="center"/>
      <protection hidden="1"/>
    </xf>
    <xf numFmtId="0" fontId="23" fillId="7" borderId="8" xfId="0" applyFont="1" applyFill="1" applyBorder="1" applyAlignment="1" applyProtection="1">
      <alignment horizontal="center" vertical="center"/>
      <protection hidden="1"/>
    </xf>
    <xf numFmtId="0" fontId="14" fillId="7" borderId="0" xfId="0" applyFont="1" applyFill="1" applyBorder="1" applyAlignment="1" applyProtection="1">
      <alignment horizontal="center" vertical="center"/>
      <protection hidden="1"/>
    </xf>
    <xf numFmtId="0" fontId="14" fillId="7" borderId="48" xfId="0" applyFont="1" applyFill="1" applyBorder="1" applyAlignment="1" applyProtection="1">
      <alignment horizontal="center" vertical="center"/>
      <protection hidden="1"/>
    </xf>
    <xf numFmtId="0" fontId="14" fillId="7" borderId="8" xfId="0" applyFont="1" applyFill="1" applyBorder="1" applyAlignment="1" applyProtection="1">
      <alignment horizontal="center" vertical="center" wrapText="1"/>
      <protection hidden="1"/>
    </xf>
    <xf numFmtId="0" fontId="14" fillId="7" borderId="2" xfId="0" applyFont="1" applyFill="1" applyBorder="1" applyAlignment="1" applyProtection="1">
      <alignment horizontal="center" vertical="center" wrapText="1"/>
      <protection hidden="1"/>
    </xf>
    <xf numFmtId="0" fontId="25" fillId="7" borderId="0" xfId="0" applyFont="1" applyFill="1" applyBorder="1" applyAlignment="1" applyProtection="1">
      <alignment horizontal="right" vertical="center"/>
      <protection hidden="1"/>
    </xf>
    <xf numFmtId="0" fontId="38" fillId="7" borderId="21" xfId="0" applyFont="1" applyFill="1" applyBorder="1" applyAlignment="1" applyProtection="1">
      <alignment horizontal="center"/>
      <protection hidden="1"/>
    </xf>
    <xf numFmtId="0" fontId="38" fillId="7" borderId="22" xfId="0" applyFont="1" applyFill="1" applyBorder="1" applyAlignment="1" applyProtection="1">
      <alignment horizontal="center"/>
      <protection hidden="1"/>
    </xf>
    <xf numFmtId="0" fontId="38" fillId="7" borderId="23" xfId="0" applyFont="1" applyFill="1" applyBorder="1" applyAlignment="1" applyProtection="1">
      <alignment horizontal="center"/>
      <protection hidden="1"/>
    </xf>
    <xf numFmtId="0" fontId="14" fillId="7" borderId="5" xfId="0" applyFont="1" applyFill="1" applyBorder="1" applyAlignment="1" applyProtection="1">
      <alignment horizontal="center" vertical="center"/>
      <protection hidden="1"/>
    </xf>
    <xf numFmtId="0" fontId="14" fillId="7" borderId="3" xfId="0" applyFont="1" applyFill="1" applyBorder="1" applyAlignment="1" applyProtection="1">
      <alignment horizontal="center" vertical="center"/>
      <protection hidden="1"/>
    </xf>
    <xf numFmtId="0" fontId="14" fillId="7" borderId="7" xfId="0" applyFont="1" applyFill="1" applyBorder="1" applyAlignment="1" applyProtection="1">
      <alignment horizontal="center" vertical="center"/>
      <protection hidden="1"/>
    </xf>
    <xf numFmtId="0" fontId="14" fillId="7" borderId="4" xfId="0" applyFont="1" applyFill="1" applyBorder="1" applyAlignment="1" applyProtection="1">
      <alignment horizontal="center" vertical="center"/>
      <protection hidden="1"/>
    </xf>
    <xf numFmtId="0" fontId="14" fillId="7" borderId="5" xfId="0" applyFont="1" applyFill="1" applyBorder="1" applyAlignment="1" applyProtection="1">
      <alignment horizontal="left" vertical="center"/>
      <protection hidden="1"/>
    </xf>
    <xf numFmtId="0" fontId="14" fillId="7" borderId="1" xfId="0" applyFont="1" applyFill="1" applyBorder="1" applyAlignment="1" applyProtection="1">
      <alignment horizontal="left" vertical="center"/>
      <protection hidden="1"/>
    </xf>
    <xf numFmtId="0" fontId="14" fillId="7" borderId="3" xfId="0" applyFont="1" applyFill="1" applyBorder="1" applyAlignment="1" applyProtection="1">
      <alignment horizontal="left" vertical="center"/>
      <protection hidden="1"/>
    </xf>
    <xf numFmtId="0" fontId="23" fillId="7" borderId="6" xfId="0" applyFont="1" applyFill="1" applyBorder="1" applyAlignment="1" applyProtection="1">
      <alignment horizontal="center" vertical="center"/>
      <protection hidden="1"/>
    </xf>
    <xf numFmtId="0" fontId="23" fillId="7" borderId="24" xfId="0" applyFont="1" applyFill="1" applyBorder="1" applyAlignment="1" applyProtection="1">
      <alignment horizontal="center" vertical="center"/>
      <protection hidden="1"/>
    </xf>
    <xf numFmtId="0" fontId="25" fillId="7" borderId="0" xfId="0" applyFont="1" applyFill="1" applyBorder="1" applyAlignment="1" applyProtection="1">
      <alignment horizontal="right" wrapText="1"/>
      <protection hidden="1"/>
    </xf>
    <xf numFmtId="0" fontId="38" fillId="7" borderId="24" xfId="0" applyFont="1" applyFill="1" applyBorder="1" applyAlignment="1" applyProtection="1">
      <alignment horizontal="center" vertical="center"/>
      <protection hidden="1"/>
    </xf>
    <xf numFmtId="0" fontId="38" fillId="7" borderId="0" xfId="0" applyFont="1" applyFill="1" applyBorder="1" applyAlignment="1" applyProtection="1">
      <alignment horizontal="right" vertical="center" wrapText="1"/>
      <protection hidden="1"/>
    </xf>
    <xf numFmtId="0" fontId="38" fillId="7" borderId="0" xfId="0" quotePrefix="1" applyFont="1" applyFill="1" applyBorder="1" applyAlignment="1" applyProtection="1">
      <alignment horizontal="right" vertical="center"/>
      <protection hidden="1"/>
    </xf>
    <xf numFmtId="0" fontId="14" fillId="7" borderId="0" xfId="0" applyFont="1" applyFill="1" applyBorder="1" applyAlignment="1" applyProtection="1">
      <alignment horizontal="left" vertical="center"/>
      <protection hidden="1"/>
    </xf>
    <xf numFmtId="0" fontId="14" fillId="7" borderId="25" xfId="0" applyFont="1" applyFill="1" applyBorder="1" applyAlignment="1" applyProtection="1">
      <alignment horizontal="left" vertical="center"/>
      <protection hidden="1"/>
    </xf>
    <xf numFmtId="0" fontId="38" fillId="7" borderId="51" xfId="0" applyFont="1" applyFill="1" applyBorder="1" applyAlignment="1" applyProtection="1">
      <alignment horizontal="center" vertical="center"/>
      <protection hidden="1"/>
    </xf>
    <xf numFmtId="0" fontId="38" fillId="7" borderId="47" xfId="0" applyFont="1" applyFill="1" applyBorder="1" applyAlignment="1" applyProtection="1">
      <alignment horizontal="center" vertical="center"/>
      <protection hidden="1"/>
    </xf>
    <xf numFmtId="0" fontId="66" fillId="3" borderId="0" xfId="0" applyFont="1" applyFill="1" applyBorder="1" applyAlignment="1" applyProtection="1">
      <alignment horizontal="left" vertical="top" wrapText="1"/>
      <protection locked="0"/>
    </xf>
    <xf numFmtId="0" fontId="75" fillId="3" borderId="11" xfId="0" applyNumberFormat="1" applyFont="1" applyFill="1" applyBorder="1" applyAlignment="1" applyProtection="1">
      <alignment horizontal="left" vertical="center" indent="1"/>
      <protection locked="0"/>
    </xf>
    <xf numFmtId="0" fontId="37" fillId="7" borderId="8" xfId="0" applyFont="1" applyFill="1" applyBorder="1" applyAlignment="1" applyProtection="1">
      <alignment horizontal="center" vertical="center"/>
      <protection hidden="1"/>
    </xf>
    <xf numFmtId="0" fontId="37" fillId="7" borderId="2" xfId="0" applyFont="1" applyFill="1" applyBorder="1" applyAlignment="1" applyProtection="1">
      <alignment horizontal="center" vertical="center"/>
      <protection hidden="1"/>
    </xf>
    <xf numFmtId="0" fontId="25" fillId="7" borderId="0" xfId="1" applyFont="1" applyFill="1" applyBorder="1" applyAlignment="1" applyProtection="1">
      <alignment horizontal="right" vertical="center" wrapText="1" indent="1"/>
      <protection hidden="1"/>
    </xf>
    <xf numFmtId="164" fontId="25" fillId="4" borderId="19" xfId="0" applyNumberFormat="1" applyFont="1" applyFill="1" applyBorder="1" applyAlignment="1" applyProtection="1">
      <alignment horizontal="center"/>
      <protection hidden="1"/>
    </xf>
    <xf numFmtId="0" fontId="23" fillId="7" borderId="0" xfId="0" applyFont="1" applyFill="1" applyAlignment="1" applyProtection="1">
      <alignment horizontal="left" wrapText="1" indent="1"/>
      <protection hidden="1"/>
    </xf>
    <xf numFmtId="0" fontId="23" fillId="7" borderId="0" xfId="0" applyFont="1" applyFill="1" applyBorder="1" applyAlignment="1" applyProtection="1">
      <alignment horizontal="right" vertical="center" wrapText="1" indent="1"/>
      <protection hidden="1"/>
    </xf>
    <xf numFmtId="0" fontId="23" fillId="7" borderId="0" xfId="0" applyFont="1" applyFill="1" applyBorder="1" applyAlignment="1" applyProtection="1">
      <alignment horizontal="right" vertical="center"/>
      <protection hidden="1"/>
    </xf>
    <xf numFmtId="0" fontId="38" fillId="7" borderId="0" xfId="0" applyFont="1" applyFill="1" applyBorder="1" applyAlignment="1" applyProtection="1">
      <alignment horizontal="center" vertical="center"/>
      <protection hidden="1"/>
    </xf>
    <xf numFmtId="0" fontId="38" fillId="7" borderId="2" xfId="0" applyFont="1" applyFill="1" applyBorder="1" applyAlignment="1" applyProtection="1">
      <alignment horizontal="center" vertical="center"/>
      <protection hidden="1"/>
    </xf>
    <xf numFmtId="0" fontId="14" fillId="6" borderId="2" xfId="0" applyFont="1" applyFill="1" applyBorder="1" applyAlignment="1" applyProtection="1">
      <alignment horizontal="center" vertical="center"/>
      <protection hidden="1"/>
    </xf>
    <xf numFmtId="0" fontId="14" fillId="7" borderId="2" xfId="0" applyFont="1" applyFill="1" applyBorder="1" applyAlignment="1" applyProtection="1">
      <alignment horizontal="center" vertical="center"/>
      <protection hidden="1"/>
    </xf>
    <xf numFmtId="0" fontId="14" fillId="7" borderId="24" xfId="0" applyFont="1" applyFill="1" applyBorder="1" applyAlignment="1" applyProtection="1">
      <alignment horizontal="center" vertical="center"/>
      <protection hidden="1"/>
    </xf>
    <xf numFmtId="0" fontId="14" fillId="6" borderId="0" xfId="0" applyFont="1" applyFill="1" applyBorder="1" applyAlignment="1" applyProtection="1">
      <alignment horizontal="center" vertical="center"/>
      <protection hidden="1"/>
    </xf>
    <xf numFmtId="0" fontId="27" fillId="7" borderId="2" xfId="0" applyFont="1" applyFill="1" applyBorder="1" applyAlignment="1" applyProtection="1">
      <alignment horizontal="center"/>
      <protection hidden="1"/>
    </xf>
    <xf numFmtId="0" fontId="63" fillId="7" borderId="0" xfId="0" applyFont="1" applyFill="1" applyBorder="1" applyAlignment="1" applyProtection="1">
      <alignment horizontal="left" vertical="center"/>
      <protection hidden="1"/>
    </xf>
    <xf numFmtId="0" fontId="66" fillId="3" borderId="28" xfId="0" applyFont="1" applyFill="1" applyBorder="1" applyAlignment="1" applyProtection="1">
      <alignment horizontal="left" vertical="top" wrapText="1"/>
      <protection locked="0"/>
    </xf>
    <xf numFmtId="0" fontId="66" fillId="3" borderId="0" xfId="0" applyFont="1" applyFill="1" applyBorder="1" applyAlignment="1" applyProtection="1">
      <alignment horizontal="left" vertical="top"/>
      <protection locked="0"/>
    </xf>
    <xf numFmtId="0" fontId="14" fillId="7" borderId="0" xfId="0" applyFont="1" applyFill="1" applyAlignment="1" applyProtection="1">
      <alignment horizontal="left" vertical="center" wrapText="1"/>
      <protection hidden="1"/>
    </xf>
    <xf numFmtId="0" fontId="17" fillId="7" borderId="0" xfId="0" applyFont="1" applyFill="1" applyBorder="1" applyAlignment="1" applyProtection="1">
      <alignment horizontal="center" vertical="center" wrapText="1"/>
      <protection hidden="1"/>
    </xf>
    <xf numFmtId="0" fontId="38" fillId="7" borderId="15" xfId="0" applyFont="1" applyFill="1" applyBorder="1" applyAlignment="1" applyProtection="1">
      <alignment horizontal="center" vertical="center" wrapText="1"/>
      <protection hidden="1"/>
    </xf>
    <xf numFmtId="0" fontId="38" fillId="7" borderId="16" xfId="0" applyFont="1" applyFill="1" applyBorder="1" applyAlignment="1" applyProtection="1">
      <alignment horizontal="center" vertical="center" wrapText="1"/>
      <protection hidden="1"/>
    </xf>
    <xf numFmtId="0" fontId="72" fillId="3" borderId="10" xfId="0" applyNumberFormat="1" applyFont="1" applyFill="1" applyBorder="1" applyAlignment="1" applyProtection="1">
      <alignment horizontal="left" vertical="center" indent="1"/>
      <protection locked="0"/>
    </xf>
    <xf numFmtId="0" fontId="72" fillId="3" borderId="9" xfId="0" applyNumberFormat="1" applyFont="1" applyFill="1" applyBorder="1" applyAlignment="1" applyProtection="1">
      <alignment horizontal="left" vertical="center" indent="1"/>
      <protection locked="0"/>
    </xf>
    <xf numFmtId="0" fontId="14" fillId="3" borderId="19" xfId="0" applyFont="1" applyFill="1" applyBorder="1" applyAlignment="1" applyProtection="1">
      <alignment horizontal="center" vertical="center"/>
      <protection locked="0"/>
    </xf>
    <xf numFmtId="0" fontId="23" fillId="7" borderId="8" xfId="0" applyFont="1" applyFill="1" applyBorder="1" applyAlignment="1" applyProtection="1">
      <alignment horizontal="center" vertical="center" wrapText="1"/>
      <protection hidden="1"/>
    </xf>
    <xf numFmtId="0" fontId="23" fillId="7" borderId="2" xfId="0" applyFont="1" applyFill="1" applyBorder="1" applyAlignment="1" applyProtection="1">
      <alignment horizontal="center" vertical="center" wrapText="1"/>
      <protection hidden="1"/>
    </xf>
    <xf numFmtId="0" fontId="14" fillId="3" borderId="8"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164" fontId="25" fillId="4" borderId="2" xfId="0" applyNumberFormat="1" applyFont="1" applyFill="1" applyBorder="1" applyAlignment="1" applyProtection="1">
      <alignment horizontal="center" vertical="center"/>
      <protection hidden="1"/>
    </xf>
    <xf numFmtId="1" fontId="23" fillId="7" borderId="8" xfId="0" applyNumberFormat="1" applyFont="1" applyFill="1" applyBorder="1" applyAlignment="1" applyProtection="1">
      <alignment horizontal="center" vertical="center"/>
      <protection hidden="1"/>
    </xf>
    <xf numFmtId="0" fontId="6" fillId="7" borderId="0" xfId="0" applyFont="1" applyFill="1" applyBorder="1" applyAlignment="1" applyProtection="1">
      <alignment horizontal="center" vertical="center" wrapText="1"/>
      <protection hidden="1"/>
    </xf>
    <xf numFmtId="0" fontId="6" fillId="9" borderId="0" xfId="0" applyFont="1" applyFill="1" applyBorder="1" applyAlignment="1" applyProtection="1">
      <alignment horizontal="center"/>
      <protection hidden="1"/>
    </xf>
    <xf numFmtId="0" fontId="19" fillId="7" borderId="5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23" fillId="3" borderId="0" xfId="0" applyFont="1" applyFill="1" applyBorder="1" applyAlignment="1" applyProtection="1">
      <alignment horizontal="left" vertical="center" indent="1"/>
      <protection locked="0"/>
    </xf>
    <xf numFmtId="0" fontId="23" fillId="3" borderId="11" xfId="0" applyFont="1" applyFill="1" applyBorder="1" applyAlignment="1" applyProtection="1">
      <alignment horizontal="left" vertical="center" indent="1"/>
      <protection locked="0"/>
    </xf>
    <xf numFmtId="0" fontId="75" fillId="3" borderId="11" xfId="0" applyFont="1" applyFill="1" applyBorder="1" applyAlignment="1" applyProtection="1">
      <alignment horizontal="left" vertical="center" indent="1"/>
      <protection locked="0"/>
    </xf>
    <xf numFmtId="0" fontId="38" fillId="7" borderId="15" xfId="0" applyFont="1" applyFill="1" applyBorder="1" applyAlignment="1" applyProtection="1">
      <alignment horizontal="center"/>
      <protection hidden="1"/>
    </xf>
    <xf numFmtId="0" fontId="52" fillId="7" borderId="0" xfId="1" applyFont="1" applyFill="1" applyBorder="1" applyAlignment="1" applyProtection="1">
      <alignment horizontal="left" vertical="center"/>
      <protection hidden="1"/>
    </xf>
    <xf numFmtId="0" fontId="3" fillId="7" borderId="0" xfId="1" applyFill="1" applyAlignment="1" applyProtection="1">
      <alignment horizontal="left" vertical="center"/>
      <protection hidden="1"/>
    </xf>
    <xf numFmtId="0" fontId="19" fillId="7" borderId="14" xfId="0" applyFont="1" applyFill="1" applyBorder="1" applyAlignment="1" applyProtection="1">
      <alignment horizontal="center" vertical="center" wrapText="1"/>
      <protection locked="0"/>
    </xf>
    <xf numFmtId="164" fontId="23" fillId="6" borderId="8" xfId="0" applyNumberFormat="1" applyFont="1" applyFill="1" applyBorder="1" applyAlignment="1" applyProtection="1">
      <alignment horizontal="center" vertical="center"/>
      <protection hidden="1"/>
    </xf>
    <xf numFmtId="164" fontId="23" fillId="6" borderId="2" xfId="0" applyNumberFormat="1" applyFont="1" applyFill="1" applyBorder="1" applyAlignment="1" applyProtection="1">
      <alignment horizontal="center" vertical="center"/>
      <protection hidden="1"/>
    </xf>
    <xf numFmtId="164" fontId="23" fillId="6" borderId="0" xfId="0" applyNumberFormat="1" applyFont="1" applyFill="1" applyBorder="1" applyAlignment="1" applyProtection="1">
      <alignment horizontal="center" vertical="center"/>
      <protection hidden="1"/>
    </xf>
    <xf numFmtId="0" fontId="26" fillId="7" borderId="0" xfId="0" applyFont="1" applyFill="1" applyBorder="1" applyAlignment="1" applyProtection="1">
      <alignment horizontal="center" vertical="center"/>
      <protection hidden="1"/>
    </xf>
    <xf numFmtId="0" fontId="6" fillId="7" borderId="0" xfId="0" applyFont="1" applyFill="1" applyAlignment="1" applyProtection="1">
      <alignment horizontal="center"/>
      <protection hidden="1"/>
    </xf>
    <xf numFmtId="0" fontId="6" fillId="9" borderId="0" xfId="0" applyFont="1" applyFill="1" applyAlignment="1" applyProtection="1">
      <alignment horizontal="center"/>
      <protection hidden="1"/>
    </xf>
    <xf numFmtId="0" fontId="51" fillId="9" borderId="0" xfId="0" applyFont="1" applyFill="1" applyAlignment="1" applyProtection="1">
      <alignment horizontal="center"/>
      <protection hidden="1"/>
    </xf>
    <xf numFmtId="14" fontId="73" fillId="3" borderId="10" xfId="0" applyNumberFormat="1" applyFont="1" applyFill="1" applyBorder="1" applyAlignment="1" applyProtection="1">
      <alignment horizontal="left" vertical="center" indent="1"/>
      <protection locked="0"/>
    </xf>
    <xf numFmtId="0" fontId="20" fillId="7" borderId="14" xfId="0" applyFont="1" applyFill="1" applyBorder="1" applyAlignment="1" applyProtection="1">
      <alignment horizontal="center" vertical="center" wrapText="1"/>
      <protection hidden="1"/>
    </xf>
    <xf numFmtId="164" fontId="23" fillId="3" borderId="33" xfId="0" applyNumberFormat="1" applyFont="1" applyFill="1" applyBorder="1" applyAlignment="1" applyProtection="1">
      <alignment horizontal="center" vertical="center"/>
      <protection locked="0"/>
    </xf>
    <xf numFmtId="164" fontId="23" fillId="3" borderId="35" xfId="0" applyNumberFormat="1" applyFont="1" applyFill="1" applyBorder="1" applyAlignment="1" applyProtection="1">
      <alignment horizontal="center" vertical="center"/>
      <protection locked="0"/>
    </xf>
    <xf numFmtId="164" fontId="23" fillId="3" borderId="34" xfId="0" applyNumberFormat="1" applyFont="1" applyFill="1" applyBorder="1" applyAlignment="1" applyProtection="1">
      <alignment horizontal="center" vertical="center"/>
      <protection locked="0"/>
    </xf>
    <xf numFmtId="164" fontId="23" fillId="3" borderId="36" xfId="0" applyNumberFormat="1" applyFont="1" applyFill="1" applyBorder="1" applyAlignment="1" applyProtection="1">
      <alignment horizontal="center" vertical="center"/>
      <protection locked="0"/>
    </xf>
    <xf numFmtId="0" fontId="23" fillId="0" borderId="17" xfId="0" applyFont="1" applyBorder="1" applyAlignment="1" applyProtection="1">
      <alignment horizontal="left" vertical="center" wrapText="1" indent="1"/>
      <protection hidden="1"/>
    </xf>
    <xf numFmtId="0" fontId="23" fillId="0" borderId="18" xfId="0" applyFont="1" applyBorder="1" applyAlignment="1" applyProtection="1">
      <alignment horizontal="left" vertical="center" wrapText="1" indent="1"/>
      <protection hidden="1"/>
    </xf>
    <xf numFmtId="0" fontId="37" fillId="0" borderId="19" xfId="0" applyFont="1" applyBorder="1" applyAlignment="1" applyProtection="1">
      <alignment horizontal="left" vertical="center" indent="1"/>
      <protection hidden="1"/>
    </xf>
    <xf numFmtId="164" fontId="14" fillId="7" borderId="8" xfId="0" applyNumberFormat="1" applyFont="1" applyFill="1" applyBorder="1" applyAlignment="1" applyProtection="1">
      <alignment horizontal="center"/>
      <protection hidden="1"/>
    </xf>
    <xf numFmtId="0" fontId="53" fillId="3" borderId="9" xfId="0" applyFont="1" applyFill="1" applyBorder="1" applyAlignment="1" applyProtection="1">
      <alignment horizontal="left" vertical="center" wrapText="1"/>
      <protection locked="0"/>
    </xf>
    <xf numFmtId="0" fontId="53" fillId="3" borderId="10" xfId="0" applyFont="1" applyFill="1" applyBorder="1" applyAlignment="1" applyProtection="1">
      <alignment horizontal="left" vertical="center" wrapText="1"/>
      <protection locked="0"/>
    </xf>
    <xf numFmtId="0" fontId="0" fillId="7" borderId="29" xfId="0" applyFill="1" applyBorder="1" applyAlignment="1" applyProtection="1">
      <alignment horizontal="center"/>
      <protection hidden="1"/>
    </xf>
    <xf numFmtId="0" fontId="0" fillId="9" borderId="0" xfId="0" applyFill="1" applyAlignment="1" applyProtection="1">
      <alignment horizontal="center"/>
      <protection locked="0" hidden="1"/>
    </xf>
    <xf numFmtId="0" fontId="34" fillId="7" borderId="0" xfId="0" applyFont="1" applyFill="1" applyAlignment="1" applyProtection="1">
      <alignment horizontal="left"/>
      <protection hidden="1"/>
    </xf>
    <xf numFmtId="0" fontId="0" fillId="9" borderId="0" xfId="0" applyFill="1" applyAlignment="1">
      <alignment horizontal="center"/>
    </xf>
    <xf numFmtId="0" fontId="14" fillId="0" borderId="1" xfId="0" applyFont="1" applyBorder="1" applyAlignment="1">
      <alignment horizontal="center"/>
    </xf>
    <xf numFmtId="0" fontId="27" fillId="0" borderId="1" xfId="0" applyFont="1" applyBorder="1" applyAlignment="1">
      <alignment horizontal="center"/>
    </xf>
  </cellXfs>
  <cellStyles count="3">
    <cellStyle name="Lien hypertexte" xfId="1" builtinId="8"/>
    <cellStyle name="Milliers" xfId="2" builtinId="3"/>
    <cellStyle name="Normal" xfId="0" builtinId="0"/>
  </cellStyles>
  <dxfs count="35">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499984740745262"/>
      </font>
      <fill>
        <patternFill>
          <bgColor rgb="FFFFEB9C"/>
        </patternFill>
      </fill>
    </dxf>
    <dxf>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auto="1"/>
      </font>
      <fill>
        <patternFill>
          <bgColor rgb="FFFFC00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auto="1"/>
      </font>
      <fill>
        <patternFill>
          <bgColor theme="9"/>
        </patternFill>
      </fill>
    </dxf>
    <dxf>
      <font>
        <color auto="1"/>
      </font>
      <fill>
        <patternFill>
          <bgColor theme="9"/>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99FF"/>
      <color rgb="FF66CCFF"/>
      <color rgb="FF143D8D"/>
      <color rgb="FFFFEB9C"/>
      <color rgb="FF19255B"/>
      <color rgb="FFFFE0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5</xdr:col>
      <xdr:colOff>1243346</xdr:colOff>
      <xdr:row>33</xdr:row>
      <xdr:rowOff>56272</xdr:rowOff>
    </xdr:from>
    <xdr:to>
      <xdr:col>6</xdr:col>
      <xdr:colOff>1489258</xdr:colOff>
      <xdr:row>37</xdr:row>
      <xdr:rowOff>54096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13788" t="32438" r="13897" b="29331"/>
        <a:stretch/>
      </xdr:blipFill>
      <xdr:spPr>
        <a:xfrm>
          <a:off x="10611464" y="9491625"/>
          <a:ext cx="2251765" cy="625353"/>
        </a:xfrm>
        <a:prstGeom prst="rect">
          <a:avLst/>
        </a:prstGeom>
      </xdr:spPr>
    </xdr:pic>
    <xdr:clientData/>
  </xdr:twoCellAnchor>
  <xdr:oneCellAnchor>
    <xdr:from>
      <xdr:col>0</xdr:col>
      <xdr:colOff>571500</xdr:colOff>
      <xdr:row>57</xdr:row>
      <xdr:rowOff>215265</xdr:rowOff>
    </xdr:from>
    <xdr:ext cx="1743075" cy="384464"/>
    <mc:AlternateContent xmlns:mc="http://schemas.openxmlformats.org/markup-compatibility/2006" xmlns:a14="http://schemas.microsoft.com/office/drawing/2010/main">
      <mc:Choice Requires="a14">
        <xdr:sp macro="" textlink="">
          <xdr:nvSpPr>
            <xdr:cNvPr id="6" name="ZoneTexte 5">
              <a:extLst>
                <a:ext uri="{FF2B5EF4-FFF2-40B4-BE49-F238E27FC236}">
                  <a16:creationId xmlns:a16="http://schemas.microsoft.com/office/drawing/2014/main" id="{00000000-0008-0000-0000-000006000000}"/>
                </a:ext>
              </a:extLst>
            </xdr:cNvPr>
            <xdr:cNvSpPr txBox="1"/>
          </xdr:nvSpPr>
          <xdr:spPr>
            <a:xfrm>
              <a:off x="571500" y="14306312"/>
              <a:ext cx="174307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S</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b</m:t>
                    </m:r>
                    <m:r>
                      <a:rPr lang="en-CA" sz="1200" i="1">
                        <a:solidFill>
                          <a:schemeClr val="tx1"/>
                        </a:solidFill>
                        <a:effectLst/>
                        <a:latin typeface="Cambria Math" panose="02040503050406030204" pitchFamily="18" charset="0"/>
                        <a:ea typeface="+mn-ea"/>
                        <a:cs typeface="+mn-cs"/>
                      </a:rPr>
                      <m:t> = </m:t>
                    </m:r>
                    <m:f>
                      <m:fPr>
                        <m:ctrlPr>
                          <a:rPr lang="fr-CA" sz="1200" i="1">
                            <a:solidFill>
                              <a:schemeClr val="tx1"/>
                            </a:solidFill>
                            <a:effectLst/>
                            <a:latin typeface="Cambria Math" panose="02040503050406030204" pitchFamily="18" charset="0"/>
                            <a:ea typeface="+mn-ea"/>
                            <a:cs typeface="+mn-cs"/>
                          </a:rPr>
                        </m:ctrlPr>
                      </m:fPr>
                      <m:num>
                        <m:d>
                          <m:dPr>
                            <m:ctrlPr>
                              <a:rPr lang="fr-CA" sz="1200" i="1">
                                <a:solidFill>
                                  <a:schemeClr val="tx1"/>
                                </a:solidFill>
                                <a:effectLst/>
                                <a:latin typeface="Cambria Math" panose="02040503050406030204" pitchFamily="18" charset="0"/>
                                <a:ea typeface="+mn-ea"/>
                                <a:cs typeface="+mn-cs"/>
                              </a:rPr>
                            </m:ctrlPr>
                          </m:dPr>
                          <m:e>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N</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h</m:t>
                            </m:r>
                            <m:r>
                              <a:rPr lang="en-CA" sz="1200" i="1">
                                <a:solidFill>
                                  <a:schemeClr val="tx1"/>
                                </a:solidFill>
                                <a:effectLst/>
                                <a:latin typeface="Cambria Math" panose="02040503050406030204" pitchFamily="18" charset="0"/>
                                <a:ea typeface="+mn-ea"/>
                                <a:cs typeface="+mn-cs"/>
                              </a:rPr>
                              <m:t> +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N</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v</m:t>
                            </m:r>
                          </m:e>
                        </m:d>
                        <m:r>
                          <a:rPr lang="fr-CA" sz="1200" i="1">
                            <a:solidFill>
                              <a:schemeClr val="tx1"/>
                            </a:solidFill>
                            <a:effectLst/>
                            <a:latin typeface="Cambria Math" panose="02040503050406030204" pitchFamily="18" charset="0"/>
                            <a:ea typeface="+mn-ea"/>
                            <a:cs typeface="+mn-cs"/>
                          </a:rPr>
                          <m:t> </m:t>
                        </m:r>
                        <m:r>
                          <m:rPr>
                            <m:nor/>
                          </m:rP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Int</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c</m:t>
                        </m:r>
                      </m:num>
                      <m:den>
                        <m:d>
                          <m:dPr>
                            <m:ctrlPr>
                              <a:rPr lang="fr-CA" sz="1200" i="1">
                                <a:solidFill>
                                  <a:schemeClr val="tx1"/>
                                </a:solidFill>
                                <a:effectLst/>
                                <a:latin typeface="Cambria Math" panose="02040503050406030204" pitchFamily="18" charset="0"/>
                                <a:ea typeface="+mn-ea"/>
                                <a:cs typeface="+mn-cs"/>
                              </a:rPr>
                            </m:ctrlPr>
                          </m:dPr>
                          <m:e>
                            <m:r>
                              <m:rPr>
                                <m:nor/>
                              </m:rP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L</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h</m:t>
                            </m:r>
                            <m:r>
                              <a:rPr lang="en-CA" sz="1200" i="1">
                                <a:solidFill>
                                  <a:schemeClr val="tx1"/>
                                </a:solidFill>
                                <a:effectLst/>
                                <a:latin typeface="Cambria Math" panose="02040503050406030204" pitchFamily="18" charset="0"/>
                                <a:ea typeface="+mn-ea"/>
                                <a:cs typeface="+mn-cs"/>
                              </a:rPr>
                              <m:t> + </m:t>
                            </m:r>
                            <m:r>
                              <m:rPr>
                                <m:nor/>
                              </m:rP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L</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v</m:t>
                            </m:r>
                          </m:e>
                        </m:d>
                      </m:den>
                    </m:f>
                  </m:oMath>
                </m:oMathPara>
              </a14:m>
              <a:endParaRPr lang="en-CA" sz="1200" i="0">
                <a:latin typeface="Swis721 Lt BT" panose="020B0403020202020204" pitchFamily="34" charset="0"/>
              </a:endParaRPr>
            </a:p>
          </xdr:txBody>
        </xdr:sp>
      </mc:Choice>
      <mc:Fallback xmlns="">
        <xdr:sp macro="" textlink="">
          <xdr:nvSpPr>
            <xdr:cNvPr id="6" name="ZoneTexte 5">
              <a:extLst>
                <a:ext uri="{FF2B5EF4-FFF2-40B4-BE49-F238E27FC236}">
                  <a16:creationId xmlns:a16="http://schemas.microsoft.com/office/drawing/2014/main" id="{00000000-0008-0000-0000-000006000000}"/>
                </a:ext>
              </a:extLst>
            </xdr:cNvPr>
            <xdr:cNvSpPr txBox="1"/>
          </xdr:nvSpPr>
          <xdr:spPr>
            <a:xfrm>
              <a:off x="571500" y="14306312"/>
              <a:ext cx="174307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"S</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b</a:t>
              </a:r>
              <a:r>
                <a:rPr kumimoji="0" lang="en-CA" sz="1200" b="0" i="0" u="none" strike="noStrike" kern="0" cap="none" spc="0" normalizeH="0" baseline="-25000" noProof="0">
                  <a:ln>
                    <a:noFill/>
                  </a:ln>
                  <a:solidFill>
                    <a:schemeClr val="tx1"/>
                  </a:solidFill>
                  <a:effectLst/>
                  <a:uLnTx/>
                  <a:uFillTx/>
                  <a:latin typeface="+mn-lt"/>
                  <a:ea typeface="+mn-ea"/>
                  <a:cs typeface="+mn-cs"/>
                </a:rPr>
                <a:t>"</a:t>
              </a:r>
              <a:r>
                <a:rPr lang="en-CA" sz="1200" i="0">
                  <a:solidFill>
                    <a:schemeClr val="tx1"/>
                  </a:solidFill>
                  <a:effectLst/>
                  <a:latin typeface="+mn-lt"/>
                  <a:ea typeface="+mn-ea"/>
                  <a:cs typeface="+mn-cs"/>
                </a:rPr>
                <a:t> = </a:t>
              </a:r>
              <a:r>
                <a:rPr lang="fr-CA" sz="1200" i="0">
                  <a:solidFill>
                    <a:schemeClr val="tx1"/>
                  </a:solidFill>
                  <a:effectLst/>
                  <a:latin typeface="+mn-lt"/>
                  <a:ea typeface="+mn-ea"/>
                  <a:cs typeface="+mn-cs"/>
                </a:rPr>
                <a:t> ((</a:t>
              </a:r>
              <a:r>
                <a:rPr kumimoji="0" lang="fr-CA" sz="1200" b="0" i="0" u="none" strike="noStrike" kern="0" cap="none" spc="0" normalizeH="0" baseline="0" noProof="0">
                  <a:ln>
                    <a:noFill/>
                  </a:ln>
                  <a:solidFill>
                    <a:prstClr val="black"/>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N</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h</a:t>
              </a:r>
              <a:r>
                <a:rPr kumimoji="0" lang="en-CA" sz="1200" b="0" i="0" u="none" strike="noStrike" kern="0" cap="none" spc="0" normalizeH="0" baseline="-25000" noProof="0">
                  <a:ln>
                    <a:noFill/>
                  </a:ln>
                  <a:solidFill>
                    <a:schemeClr val="tx1"/>
                  </a:solidFill>
                  <a:effectLst/>
                  <a:uLnTx/>
                  <a:uFillTx/>
                  <a:latin typeface="+mn-lt"/>
                  <a:ea typeface="+mn-ea"/>
                  <a:cs typeface="+mn-cs"/>
                </a:rPr>
                <a:t>" </a:t>
              </a:r>
              <a:r>
                <a:rPr lang="en-CA" sz="1200" i="0">
                  <a:solidFill>
                    <a:schemeClr val="tx1"/>
                  </a:solidFill>
                  <a:effectLst/>
                  <a:latin typeface="+mn-lt"/>
                  <a:ea typeface="+mn-ea"/>
                  <a:cs typeface="+mn-cs"/>
                </a:rPr>
                <a:t> + </a:t>
              </a:r>
              <a:r>
                <a:rPr kumimoji="0" lang="fr-CA" sz="1200" b="0" i="0" u="none" strike="noStrike" kern="0" cap="none" spc="0" normalizeH="0" baseline="0" noProof="0">
                  <a:ln>
                    <a:noFill/>
                  </a:ln>
                  <a:solidFill>
                    <a:prstClr val="black"/>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N</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v</a:t>
              </a:r>
              <a:r>
                <a:rPr kumimoji="0" lang="en-CA" sz="1200" b="0" i="0" u="none" strike="noStrike" kern="0" cap="none" spc="0" normalizeH="0" baseline="-25000" noProof="0">
                  <a:ln>
                    <a:noFill/>
                  </a:ln>
                  <a:solidFill>
                    <a:schemeClr val="tx1"/>
                  </a:solidFill>
                  <a:effectLst/>
                  <a:uLnTx/>
                  <a:uFillTx/>
                  <a:latin typeface="+mn-lt"/>
                  <a:ea typeface="+mn-ea"/>
                  <a:cs typeface="+mn-cs"/>
                </a:rPr>
                <a:t>" )</a:t>
              </a:r>
              <a:r>
                <a:rPr kumimoji="0" lang="fr-CA" sz="1200" b="0" i="0" u="none" strike="noStrike" kern="0" cap="none" spc="0" normalizeH="0" baseline="-25000" noProof="0">
                  <a:ln>
                    <a:noFill/>
                  </a:ln>
                  <a:solidFill>
                    <a:schemeClr val="tx1"/>
                  </a:solidFill>
                  <a:effectLst/>
                  <a:uLnTx/>
                  <a:uFillTx/>
                  <a:latin typeface="+mn-lt"/>
                  <a:ea typeface="+mn-ea"/>
                  <a:cs typeface="+mn-cs"/>
                </a:rPr>
                <a:t> </a:t>
              </a:r>
              <a:r>
                <a:rPr lang="fr-CA" sz="1200" i="0">
                  <a:solidFill>
                    <a:schemeClr val="tx1"/>
                  </a:solidFill>
                  <a:effectLst/>
                  <a:latin typeface="+mn-lt"/>
                  <a:ea typeface="+mn-ea"/>
                  <a:cs typeface="+mn-cs"/>
                </a:rPr>
                <a:t> </a:t>
              </a:r>
              <a:r>
                <a:rPr kumimoji="0" lang="en-CA" sz="1200" b="0" i="0" u="none" strike="noStrike" kern="0" cap="none" spc="0" normalizeH="0" baseline="0" noProof="0">
                  <a:ln>
                    <a:noFill/>
                  </a:ln>
                  <a:solidFill>
                    <a:prstClr val="black"/>
                  </a:solidFill>
                  <a:effectLst/>
                  <a:uLnTx/>
                  <a:uFillTx/>
                  <a:latin typeface="+mn-lt"/>
                  <a:ea typeface="+mn-ea"/>
                  <a:cs typeface="+mn-cs"/>
                </a:rPr>
                <a:t>"</a:t>
              </a:r>
              <a: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Int</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c</a:t>
              </a:r>
              <a:r>
                <a:rPr kumimoji="0" lang="en-CA" sz="1200" b="0" i="0" u="none" strike="noStrike" kern="0" cap="none" spc="0" normalizeH="0" baseline="-25000" noProof="0">
                  <a:ln>
                    <a:noFill/>
                  </a:ln>
                  <a:solidFill>
                    <a:schemeClr val="tx1"/>
                  </a:solidFill>
                  <a:effectLst/>
                  <a:uLnTx/>
                  <a:uFillTx/>
                  <a:latin typeface="+mn-lt"/>
                  <a:ea typeface="+mn-ea"/>
                  <a:cs typeface="+mn-cs"/>
                </a:rPr>
                <a:t>" </a:t>
              </a:r>
              <a:r>
                <a:rPr kumimoji="0" lang="fr-CA" sz="1200" b="0" i="0" u="none" strike="noStrike" kern="0" cap="none" spc="0" normalizeH="0" baseline="-25000" noProof="0">
                  <a:ln>
                    <a:noFill/>
                  </a:ln>
                  <a:solidFill>
                    <a:schemeClr val="tx1"/>
                  </a:solidFill>
                  <a:effectLst/>
                  <a:uLnTx/>
                  <a:uFillTx/>
                  <a:latin typeface="+mn-lt"/>
                  <a:ea typeface="+mn-ea"/>
                  <a:cs typeface="+mn-cs"/>
                </a:rPr>
                <a:t>)/((</a:t>
              </a:r>
              <a:r>
                <a:rPr kumimoji="0" lang="en-CA" sz="1200" b="0" i="0" u="none" strike="noStrike" kern="0" cap="none" spc="0" normalizeH="0" baseline="0" noProof="0">
                  <a:ln>
                    <a:noFill/>
                  </a:ln>
                  <a:solidFill>
                    <a:prstClr val="black"/>
                  </a:solidFill>
                  <a:effectLst/>
                  <a:uLnTx/>
                  <a:uFillTx/>
                  <a:latin typeface="+mn-lt"/>
                  <a:ea typeface="+mn-ea"/>
                  <a:cs typeface="+mn-cs"/>
                </a:rPr>
                <a:t>"</a:t>
              </a:r>
              <a: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L</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h</a:t>
              </a:r>
              <a:r>
                <a:rPr kumimoji="0" lang="en-CA" sz="1200" b="0" i="0" u="none" strike="noStrike" kern="0" cap="none" spc="0" normalizeH="0" baseline="-25000" noProof="0">
                  <a:ln>
                    <a:noFill/>
                  </a:ln>
                  <a:solidFill>
                    <a:schemeClr val="tx1"/>
                  </a:solidFill>
                  <a:effectLst/>
                  <a:uLnTx/>
                  <a:uFillTx/>
                  <a:latin typeface="+mn-lt"/>
                  <a:ea typeface="+mn-ea"/>
                  <a:cs typeface="+mn-cs"/>
                </a:rPr>
                <a:t>" </a:t>
              </a:r>
              <a:r>
                <a:rPr lang="en-CA" sz="1200" i="0">
                  <a:solidFill>
                    <a:schemeClr val="tx1"/>
                  </a:solidFill>
                  <a:effectLst/>
                  <a:latin typeface="+mn-lt"/>
                  <a:ea typeface="+mn-ea"/>
                  <a:cs typeface="+mn-cs"/>
                </a:rPr>
                <a:t> + </a:t>
              </a:r>
              <a:r>
                <a:rPr kumimoji="0" lang="en-CA" sz="1200" b="0" i="0" u="none" strike="noStrike" kern="0" cap="none" spc="0" normalizeH="0" baseline="0" noProof="0">
                  <a:ln>
                    <a:noFill/>
                  </a:ln>
                  <a:solidFill>
                    <a:prstClr val="black"/>
                  </a:solidFill>
                  <a:effectLst/>
                  <a:uLnTx/>
                  <a:uFillTx/>
                  <a:latin typeface="+mn-lt"/>
                  <a:ea typeface="+mn-ea"/>
                  <a:cs typeface="+mn-cs"/>
                </a:rPr>
                <a:t>"</a:t>
              </a:r>
              <a:r>
                <a:rPr kumimoji="0" lang="en-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L</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v</a:t>
              </a:r>
              <a:r>
                <a:rPr kumimoji="0" lang="en-CA" sz="1200" b="0" i="0" u="none" strike="noStrike" kern="0" cap="none" spc="0" normalizeH="0" baseline="-25000" noProof="0">
                  <a:ln>
                    <a:noFill/>
                  </a:ln>
                  <a:solidFill>
                    <a:schemeClr val="tx1"/>
                  </a:solidFill>
                  <a:effectLst/>
                  <a:uLnTx/>
                  <a:uFillTx/>
                  <a:latin typeface="+mn-lt"/>
                  <a:ea typeface="+mn-ea"/>
                  <a:cs typeface="+mn-cs"/>
                </a:rPr>
                <a:t>" ) </a:t>
              </a:r>
              <a:r>
                <a:rPr kumimoji="0" lang="fr-CA" sz="1200" b="0" i="0" u="none" strike="noStrike" kern="0" cap="none" spc="0" normalizeH="0" baseline="-25000" noProof="0">
                  <a:ln>
                    <a:noFill/>
                  </a:ln>
                  <a:solidFill>
                    <a:schemeClr val="tx1"/>
                  </a:solidFill>
                  <a:effectLst/>
                  <a:uLnTx/>
                  <a:uFillTx/>
                  <a:latin typeface="+mn-lt"/>
                  <a:ea typeface="+mn-ea"/>
                  <a:cs typeface="+mn-cs"/>
                </a:rPr>
                <a:t>)</a:t>
              </a:r>
              <a:endParaRPr lang="en-CA" sz="1200" i="0">
                <a:latin typeface="Swis721 Lt BT" panose="020B0403020202020204" pitchFamily="34" charset="0"/>
              </a:endParaRPr>
            </a:p>
          </xdr:txBody>
        </xdr:sp>
      </mc:Fallback>
    </mc:AlternateContent>
    <xdr:clientData/>
  </xdr:oneCellAnchor>
  <xdr:oneCellAnchor>
    <xdr:from>
      <xdr:col>4</xdr:col>
      <xdr:colOff>788670</xdr:colOff>
      <xdr:row>138</xdr:row>
      <xdr:rowOff>74295</xdr:rowOff>
    </xdr:from>
    <xdr:ext cx="1565942" cy="516255"/>
    <mc:AlternateContent xmlns:mc="http://schemas.openxmlformats.org/markup-compatibility/2006" xmlns:a14="http://schemas.microsoft.com/office/drawing/2010/main">
      <mc:Choice Requires="a14">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8113395" y="30135195"/>
              <a:ext cx="1565942" cy="516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kumimoji="0" lang="fr-CA" sz="14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C</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p</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 </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pond</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é</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r</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é</m:t>
                    </m:r>
                    <m:r>
                      <m:rPr>
                        <m:nor/>
                      </m:rPr>
                      <a:rPr lang="fr-CA" sz="1400" b="0" i="0">
                        <a:latin typeface="Cambria Math" panose="02040503050406030204" pitchFamily="18" charset="0"/>
                      </a:rPr>
                      <m:t>= </m:t>
                    </m:r>
                    <m:f>
                      <m:fPr>
                        <m:ctrlPr>
                          <a:rPr lang="en-CA" sz="1400" i="1">
                            <a:latin typeface="Cambria Math" panose="02040503050406030204" pitchFamily="18" charset="0"/>
                          </a:rPr>
                        </m:ctrlPr>
                      </m:fPr>
                      <m:num>
                        <m:r>
                          <m:rPr>
                            <m:nor/>
                          </m:rPr>
                          <a:rPr lang="en-CA" sz="1400" i="0">
                            <a:solidFill>
                              <a:schemeClr val="tx1"/>
                            </a:solidFill>
                            <a:effectLst/>
                            <a:latin typeface="Swis721 Lt BT" panose="020B0403020202020204" pitchFamily="34" charset="0"/>
                            <a:ea typeface="+mn-ea"/>
                            <a:cs typeface="+mn-cs"/>
                          </a:rPr>
                          <m:t>∑</m:t>
                        </m:r>
                        <m:r>
                          <m:rPr>
                            <m:nor/>
                          </m:rPr>
                          <a:rPr lang="fr-CA" sz="1400" b="0" i="0">
                            <a:solidFill>
                              <a:schemeClr val="tx1"/>
                            </a:solidFill>
                            <a:effectLst/>
                            <a:latin typeface="Cambria Math" panose="02040503050406030204" pitchFamily="18" charset="0"/>
                            <a:ea typeface="+mn-ea"/>
                            <a:cs typeface="+mn-cs"/>
                          </a:rPr>
                          <m:t>(</m:t>
                        </m:r>
                        <m:r>
                          <m:rPr>
                            <m:nor/>
                          </m:rPr>
                          <a:rPr lang="fr-CA" sz="1400" b="0" i="0">
                            <a:solidFill>
                              <a:schemeClr val="tx1"/>
                            </a:solidFill>
                            <a:effectLst/>
                            <a:latin typeface="Swis721 Lt BT" panose="020B0403020202020204" pitchFamily="34" charset="0"/>
                            <a:ea typeface="+mn-ea"/>
                            <a:cs typeface="+mn-cs"/>
                          </a:rPr>
                          <m:t>A</m:t>
                        </m:r>
                        <m:r>
                          <m:rPr>
                            <m:nor/>
                          </m:rPr>
                          <a:rPr lang="fr-CA" sz="1400" b="0" i="0">
                            <a:solidFill>
                              <a:schemeClr val="tx1"/>
                            </a:solidFill>
                            <a:effectLst/>
                            <a:latin typeface="Cambria Math" panose="02040503050406030204" pitchFamily="18" charset="0"/>
                            <a:ea typeface="+mn-ea"/>
                            <a:cs typeface="+mn-cs"/>
                          </a:rPr>
                          <m:t> </m:t>
                        </m:r>
                        <m:r>
                          <m:rPr>
                            <m:nor/>
                          </m:rPr>
                          <a:rPr kumimoji="0" lang="fr-CA" sz="14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C</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p</m:t>
                        </m:r>
                        <m:r>
                          <m:rPr>
                            <m:nor/>
                          </m:rPr>
                          <a:rPr lang="fr-CA" sz="1400" b="0" i="0">
                            <a:solidFill>
                              <a:schemeClr val="tx1"/>
                            </a:solidFill>
                            <a:effectLst/>
                            <a:latin typeface="Cambria Math" panose="02040503050406030204" pitchFamily="18" charset="0"/>
                            <a:ea typeface="+mn-ea"/>
                            <a:cs typeface="+mn-cs"/>
                          </a:rPr>
                          <m:t>)</m:t>
                        </m:r>
                        <m:r>
                          <m:rPr>
                            <m:nor/>
                          </m:rPr>
                          <a:rPr lang="en-CA" sz="1400" i="0">
                            <a:effectLst/>
                            <a:latin typeface="Swis721 Lt BT" panose="020B0403020202020204" pitchFamily="34" charset="0"/>
                          </a:rPr>
                          <m:t> </m:t>
                        </m:r>
                      </m:num>
                      <m:den>
                        <m:r>
                          <m:rPr>
                            <m:nor/>
                          </m:rPr>
                          <a:rPr kumimoji="0" lang="fr-CA" sz="14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A</m:t>
                        </m:r>
                        <m:r>
                          <m:rPr>
                            <m:nor/>
                          </m:rP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b</m:t>
                        </m:r>
                      </m:den>
                    </m:f>
                  </m:oMath>
                </m:oMathPara>
              </a14:m>
              <a:endParaRPr lang="en-CA" sz="1400" i="0">
                <a:latin typeface="Swis721 Lt BT" panose="020B0403020202020204" pitchFamily="34" charset="0"/>
              </a:endParaRPr>
            </a:p>
          </xdr:txBody>
        </xdr:sp>
      </mc:Choice>
      <mc:Fallback xmlns="">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8113395" y="30135195"/>
              <a:ext cx="1565942" cy="516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kumimoji="0" lang="fr-CA" sz="14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"C</a:t>
              </a:r>
              <a:r>
                <a:rPr kumimoji="0" lang="fr-CA"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p pondéré</a:t>
              </a:r>
              <a:r>
                <a:rPr lang="fr-CA" sz="1400" b="0" i="0">
                  <a:latin typeface="Cambria Math" panose="02040503050406030204" pitchFamily="18" charset="0"/>
                </a:rPr>
                <a:t>= </a:t>
              </a:r>
              <a:r>
                <a:rPr lang="en-CA" sz="1400" b="0" i="0">
                  <a:latin typeface="Cambria Math" panose="02040503050406030204" pitchFamily="18" charset="0"/>
                </a:rPr>
                <a:t>" </a:t>
              </a:r>
              <a:r>
                <a:rPr lang="en-CA" sz="1400" i="0">
                  <a:solidFill>
                    <a:schemeClr val="tx1"/>
                  </a:solidFill>
                  <a:effectLst/>
                  <a:latin typeface="Swis721 Lt BT" panose="020B0403020202020204" pitchFamily="34" charset="0"/>
                  <a:ea typeface="+mn-ea"/>
                  <a:cs typeface="+mn-cs"/>
                </a:rPr>
                <a:t> "∑</a:t>
              </a:r>
              <a:r>
                <a:rPr lang="fr-CA" sz="1400" b="0" i="0">
                  <a:solidFill>
                    <a:schemeClr val="tx1"/>
                  </a:solidFill>
                  <a:effectLst/>
                  <a:latin typeface="Cambria Math" panose="02040503050406030204" pitchFamily="18" charset="0"/>
                  <a:ea typeface="+mn-ea"/>
                  <a:cs typeface="+mn-cs"/>
                </a:rPr>
                <a:t>(</a:t>
              </a:r>
              <a:r>
                <a:rPr lang="fr-CA" sz="1400" b="0" i="0">
                  <a:solidFill>
                    <a:schemeClr val="tx1"/>
                  </a:solidFill>
                  <a:effectLst/>
                  <a:latin typeface="Swis721 Lt BT" panose="020B0403020202020204" pitchFamily="34" charset="0"/>
                  <a:ea typeface="+mn-ea"/>
                  <a:cs typeface="+mn-cs"/>
                </a:rPr>
                <a:t>A</a:t>
              </a:r>
              <a:r>
                <a:rPr lang="fr-CA" sz="1400" b="0" i="0">
                  <a:solidFill>
                    <a:schemeClr val="tx1"/>
                  </a:solidFill>
                  <a:effectLst/>
                  <a:latin typeface="Cambria Math" panose="02040503050406030204" pitchFamily="18" charset="0"/>
                  <a:ea typeface="+mn-ea"/>
                  <a:cs typeface="+mn-cs"/>
                </a:rPr>
                <a:t> </a:t>
              </a:r>
              <a:r>
                <a:rPr kumimoji="0" lang="fr-CA" sz="14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C</a:t>
              </a:r>
              <a: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p</a:t>
              </a:r>
              <a:r>
                <a:rPr lang="fr-CA" sz="1400" b="0" i="0">
                  <a:solidFill>
                    <a:schemeClr val="tx1"/>
                  </a:solidFill>
                  <a:effectLst/>
                  <a:latin typeface="Cambria Math" panose="02040503050406030204" pitchFamily="18" charset="0"/>
                  <a:ea typeface="+mn-ea"/>
                  <a:cs typeface="+mn-cs"/>
                </a:rPr>
                <a:t>)</a:t>
              </a:r>
              <a:r>
                <a:rPr lang="en-CA" sz="1400" i="0">
                  <a:effectLst/>
                  <a:latin typeface="Swis721 Lt BT" panose="020B0403020202020204" pitchFamily="34" charset="0"/>
                </a:rPr>
                <a:t> </a:t>
              </a:r>
              <a:r>
                <a:rPr lang="en-CA" sz="1400" i="0">
                  <a:effectLst/>
                  <a:latin typeface="Cambria Math" panose="02040503050406030204" pitchFamily="18" charset="0"/>
                </a:rPr>
                <a:t>" /</a:t>
              </a:r>
              <a:r>
                <a:rPr kumimoji="0" lang="fr-CA" sz="14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a:t>
              </a:r>
              <a:r>
                <a:rPr kumimoji="0" lang="fr-CA" sz="14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A</a:t>
              </a:r>
              <a:r>
                <a:rPr kumimoji="0" lang="fr-CA" sz="14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b</a:t>
              </a:r>
              <a:r>
                <a:rPr kumimoji="0" lang="fr-CA" sz="14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 </a:t>
              </a:r>
              <a:endParaRPr lang="en-CA" sz="1400" i="0">
                <a:latin typeface="Swis721 Lt BT" panose="020B0403020202020204" pitchFamily="34" charset="0"/>
              </a:endParaRPr>
            </a:p>
          </xdr:txBody>
        </xdr:sp>
      </mc:Fallback>
    </mc:AlternateContent>
    <xdr:clientData/>
  </xdr:oneCellAnchor>
  <xdr:oneCellAnchor>
    <xdr:from>
      <xdr:col>0</xdr:col>
      <xdr:colOff>638175</xdr:colOff>
      <xdr:row>166</xdr:row>
      <xdr:rowOff>85724</xdr:rowOff>
    </xdr:from>
    <xdr:ext cx="1744260" cy="439807"/>
    <mc:AlternateContent xmlns:mc="http://schemas.openxmlformats.org/markup-compatibility/2006" xmlns:a14="http://schemas.microsoft.com/office/drawing/2010/main">
      <mc:Choice Requires="a14">
        <xdr:sp macro="" textlink="">
          <xdr:nvSpPr>
            <xdr:cNvPr id="15" name="ZoneTexte 14">
              <a:extLst>
                <a:ext uri="{FF2B5EF4-FFF2-40B4-BE49-F238E27FC236}">
                  <a16:creationId xmlns:a16="http://schemas.microsoft.com/office/drawing/2014/main" id="{00000000-0008-0000-0000-00000F000000}"/>
                </a:ext>
              </a:extLst>
            </xdr:cNvPr>
            <xdr:cNvSpPr txBox="1"/>
          </xdr:nvSpPr>
          <xdr:spPr>
            <a:xfrm>
              <a:off x="638175" y="36118799"/>
              <a:ext cx="1744260" cy="439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t</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 =</m:t>
                    </m:r>
                    <m:f>
                      <m:fPr>
                        <m:ctrlPr>
                          <a:rPr lang="fr-CA" sz="1200" i="1">
                            <a:effectLst/>
                            <a:latin typeface="Cambria Math" panose="02040503050406030204" pitchFamily="18" charset="0"/>
                          </a:rPr>
                        </m:ctrlPr>
                      </m:fPr>
                      <m:num>
                        <m:r>
                          <m:rPr>
                            <m:nor/>
                          </m:rPr>
                          <a:rPr lang="fr-CA" sz="1200">
                            <a:effectLst/>
                            <a:latin typeface="Swis721 Lt BT" panose="020B0403020202020204" pitchFamily="34" charset="0"/>
                            <a:ea typeface="Times New Roman" panose="02020603050405020304" pitchFamily="18" charset="0"/>
                            <a:cs typeface="Times New Roman" panose="02020603050405020304" pitchFamily="18" charset="0"/>
                          </a:rPr>
                          <m:t>3,26</m:t>
                        </m:r>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 </m:t>
                        </m:r>
                        <m:d>
                          <m:dPr>
                            <m:ctrlPr>
                              <a:rPr lang="fr-CA" sz="1200" i="1">
                                <a:effectLst/>
                                <a:latin typeface="Cambria Math" panose="02040503050406030204" pitchFamily="18" charset="0"/>
                              </a:rPr>
                            </m:ctrlPr>
                          </m:dPr>
                          <m:e>
                            <m:r>
                              <m:rPr>
                                <m:nor/>
                              </m:rPr>
                              <a:rPr lang="fr-CA" sz="1200">
                                <a:effectLst/>
                                <a:latin typeface="Swis721 Lt BT" panose="020B0403020202020204" pitchFamily="34" charset="0"/>
                                <a:ea typeface="Times New Roman" panose="02020603050405020304" pitchFamily="18" charset="0"/>
                                <a:cs typeface="Times New Roman" panose="02020603050405020304" pitchFamily="18" charset="0"/>
                              </a:rPr>
                              <m:t>1,1</m:t>
                            </m:r>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 −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p</m:t>
                            </m:r>
                          </m:e>
                        </m:d>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L</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m:rPr>
                            <m:nor/>
                          </m:rP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0.5</m:t>
                        </m:r>
                      </m:num>
                      <m:den>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S</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m:rPr>
                            <m:nor/>
                          </m:rP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0,33</m:t>
                        </m:r>
                      </m:den>
                    </m:f>
                  </m:oMath>
                </m:oMathPara>
              </a14:m>
              <a:endParaRPr lang="en-CA" sz="1200" i="0">
                <a:latin typeface="Swis721 Lt BT" panose="020B0403020202020204" pitchFamily="34" charset="0"/>
              </a:endParaRPr>
            </a:p>
          </xdr:txBody>
        </xdr:sp>
      </mc:Choice>
      <mc:Fallback xmlns="">
        <xdr:sp macro="" textlink="">
          <xdr:nvSpPr>
            <xdr:cNvPr id="15" name="ZoneTexte 14">
              <a:extLst>
                <a:ext uri="{FF2B5EF4-FFF2-40B4-BE49-F238E27FC236}">
                  <a16:creationId xmlns:a16="http://schemas.microsoft.com/office/drawing/2014/main" id="{00000000-0008-0000-0000-00000F000000}"/>
                </a:ext>
              </a:extLst>
            </xdr:cNvPr>
            <xdr:cNvSpPr txBox="1"/>
          </xdr:nvSpPr>
          <xdr:spPr>
            <a:xfrm>
              <a:off x="638175" y="36118799"/>
              <a:ext cx="1744260" cy="439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"t</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c"</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lang="fr-CA" sz="1200" i="0">
                  <a:effectLst/>
                  <a:latin typeface="Cambria Math" panose="02040503050406030204" pitchFamily="18" charset="0"/>
                </a:rPr>
                <a:t>("</a:t>
              </a:r>
              <a:r>
                <a:rPr lang="fr-CA" sz="1200" i="0">
                  <a:effectLst/>
                  <a:latin typeface="Swis721 Lt BT" panose="020B0403020202020204" pitchFamily="34" charset="0"/>
                  <a:ea typeface="Times New Roman" panose="02020603050405020304" pitchFamily="18" charset="0"/>
                  <a:cs typeface="Times New Roman" panose="02020603050405020304" pitchFamily="18" charset="0"/>
                </a:rPr>
                <a:t>3,26</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lang="fr-CA" sz="1200" i="0">
                  <a:effectLst/>
                  <a:latin typeface="Swis721 Lt BT" panose="020B0403020202020204" pitchFamily="34" charset="0"/>
                  <a:ea typeface="Times New Roman" panose="02020603050405020304" pitchFamily="18" charset="0"/>
                  <a:cs typeface="Times New Roman" panose="02020603050405020304" pitchFamily="18" charset="0"/>
                </a:rPr>
                <a:t>1,1</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C</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p</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 </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L</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c</a:t>
              </a:r>
              <a: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0.5</a:t>
              </a:r>
              <a:r>
                <a:rPr kumimoji="0" lang="fr-CA" sz="1200" b="0" i="0" u="none" strike="noStrike" kern="0" cap="none" spc="0" normalizeH="0" baseline="30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S</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c</a:t>
              </a:r>
              <a: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0,33</a:t>
              </a:r>
              <a:r>
                <a:rPr kumimoji="0" lang="fr-CA" sz="1200" b="0" i="0" u="none" strike="noStrike" kern="0" cap="none" spc="0" normalizeH="0" baseline="30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a:t>
              </a:r>
              <a:endParaRPr lang="en-CA" sz="1200" i="0">
                <a:latin typeface="Swis721 Lt BT" panose="020B0403020202020204" pitchFamily="34" charset="0"/>
              </a:endParaRPr>
            </a:p>
          </xdr:txBody>
        </xdr:sp>
      </mc:Fallback>
    </mc:AlternateContent>
    <xdr:clientData/>
  </xdr:oneCellAnchor>
  <xdr:oneCellAnchor>
    <xdr:from>
      <xdr:col>0</xdr:col>
      <xdr:colOff>857250</xdr:colOff>
      <xdr:row>168</xdr:row>
      <xdr:rowOff>76200</xdr:rowOff>
    </xdr:from>
    <xdr:ext cx="1274871" cy="453887"/>
    <mc:AlternateContent xmlns:mc="http://schemas.openxmlformats.org/markup-compatibility/2006" xmlns:a14="http://schemas.microsoft.com/office/drawing/2010/main">
      <mc:Choice Requires="a14">
        <xdr:sp macro="" textlink="">
          <xdr:nvSpPr>
            <xdr:cNvPr id="16" name="ZoneTexte 15">
              <a:extLst>
                <a:ext uri="{FF2B5EF4-FFF2-40B4-BE49-F238E27FC236}">
                  <a16:creationId xmlns:a16="http://schemas.microsoft.com/office/drawing/2014/main" id="{00000000-0008-0000-0000-000010000000}"/>
                </a:ext>
              </a:extLst>
            </xdr:cNvPr>
            <xdr:cNvSpPr txBox="1"/>
          </xdr:nvSpPr>
          <xdr:spPr>
            <a:xfrm>
              <a:off x="857250" y="37323091"/>
              <a:ext cx="1274871" cy="453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t</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m:rPr>
                        <m:nor/>
                      </m:rPr>
                      <a:rPr lang="fr-CA" sz="1200">
                        <a:effectLst/>
                        <a:latin typeface="Swis721 Lt BT" panose="020B0403020202020204" pitchFamily="34" charset="0"/>
                        <a:ea typeface="Times New Roman" panose="02020603050405020304" pitchFamily="18" charset="0"/>
                        <a:cs typeface="Times New Roman" panose="02020603050405020304" pitchFamily="18" charset="0"/>
                      </a:rPr>
                      <m:t> </m:t>
                    </m:r>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m:t>
                    </m:r>
                    <m:f>
                      <m:fPr>
                        <m:ctrlPr>
                          <a:rPr lang="fr-CA" sz="1200" i="1">
                            <a:effectLst/>
                            <a:latin typeface="Cambria Math" panose="02040503050406030204" pitchFamily="18" charset="0"/>
                          </a:rPr>
                        </m:ctrlPr>
                      </m:fPr>
                      <m:num>
                        <m:r>
                          <m:rPr>
                            <m:nor/>
                          </m:rPr>
                          <a:rPr lang="fr-CA" sz="1200">
                            <a:effectLst/>
                            <a:latin typeface="Swis721 Lt BT" panose="020B0403020202020204" pitchFamily="34" charset="0"/>
                            <a:ea typeface="Times New Roman" panose="02020603050405020304" pitchFamily="18" charset="0"/>
                            <a:cs typeface="Times New Roman" panose="02020603050405020304" pitchFamily="18" charset="0"/>
                          </a:rPr>
                          <m:t>0,057</m:t>
                        </m:r>
                        <m:r>
                          <m:rPr>
                            <m:nor/>
                          </m:rPr>
                          <a:rPr lang="fr-CA" sz="1200">
                            <a:effectLst/>
                            <a:latin typeface="Cambria Math" panose="02040503050406030204" pitchFamily="18" charset="0"/>
                            <a:ea typeface="Times New Roman" panose="02020603050405020304" pitchFamily="18" charset="0"/>
                            <a:cs typeface="Times New Roman" panose="02020603050405020304" pitchFamily="18" charset="0"/>
                          </a:rPr>
                          <m:t>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L</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num>
                      <m:den>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S</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c</m:t>
                        </m:r>
                        <m:r>
                          <m:rPr>
                            <m:nor/>
                          </m:rP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0,2</m:t>
                        </m:r>
                        <m:r>
                          <a:rPr lang="fr-CA" sz="1200" i="1">
                            <a:effectLst/>
                            <a:latin typeface="Cambria Math" panose="02040503050406030204" pitchFamily="18" charset="0"/>
                            <a:ea typeface="Times New Roman" panose="02020603050405020304" pitchFamily="18" charset="0"/>
                            <a:cs typeface="Times New Roman" panose="02020603050405020304" pitchFamily="18" charset="0"/>
                          </a:rPr>
                          <m:t>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A</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b</m:t>
                        </m:r>
                        <m:r>
                          <m:rPr>
                            <m:nor/>
                          </m:rP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m:t>0,1</m:t>
                        </m:r>
                      </m:den>
                    </m:f>
                  </m:oMath>
                </m:oMathPara>
              </a14:m>
              <a:endParaRPr lang="en-CA" sz="1200" i="0">
                <a:latin typeface="Swis721 Lt BT" panose="020B0403020202020204" pitchFamily="34" charset="0"/>
              </a:endParaRPr>
            </a:p>
          </xdr:txBody>
        </xdr:sp>
      </mc:Choice>
      <mc:Fallback xmlns="">
        <xdr:sp macro="" textlink="">
          <xdr:nvSpPr>
            <xdr:cNvPr id="16" name="ZoneTexte 15">
              <a:extLst>
                <a:ext uri="{FF2B5EF4-FFF2-40B4-BE49-F238E27FC236}">
                  <a16:creationId xmlns:a16="http://schemas.microsoft.com/office/drawing/2014/main" id="{00000000-0008-0000-0000-000010000000}"/>
                </a:ext>
              </a:extLst>
            </xdr:cNvPr>
            <xdr:cNvSpPr txBox="1"/>
          </xdr:nvSpPr>
          <xdr:spPr>
            <a:xfrm>
              <a:off x="857250" y="37323091"/>
              <a:ext cx="1274871" cy="453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"t</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c</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lang="fr-CA" sz="1200" i="0">
                  <a:effectLst/>
                  <a:latin typeface="Swis721 Lt BT" panose="020B0403020202020204" pitchFamily="34" charset="0"/>
                  <a:cs typeface="Times New Roman" panose="02020603050405020304" pitchFamily="18" charset="0"/>
                </a:rPr>
                <a:t>"</a:t>
              </a:r>
              <a:r>
                <a:rPr lang="fr-CA" sz="1200" i="0">
                  <a:effectLst/>
                  <a:latin typeface="Swis721 Lt BT" panose="020B0403020202020204" pitchFamily="34" charset="0"/>
                  <a:ea typeface="Times New Roman" panose="02020603050405020304" pitchFamily="18" charset="0"/>
                  <a:cs typeface="Times New Roman" panose="02020603050405020304" pitchFamily="18" charset="0"/>
                </a:rPr>
                <a:t>0,057</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L</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c</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S</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c</a:t>
              </a:r>
              <a: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0,2</a:t>
              </a:r>
              <a:r>
                <a:rPr kumimoji="0" lang="fr-CA" sz="1200" b="0" i="0" u="none" strike="noStrike" kern="0" cap="none" spc="0" normalizeH="0" baseline="30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a:t>
              </a:r>
              <a:r>
                <a:rPr lang="fr-CA" sz="1200" i="0">
                  <a:effectLst/>
                  <a:latin typeface="Cambria Math" panose="02040503050406030204" pitchFamily="18" charset="0"/>
                  <a:ea typeface="Times New Roman" panose="02020603050405020304" pitchFamily="18" charset="0"/>
                  <a:cs typeface="Times New Roman" panose="020206030504050203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A</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b</a:t>
              </a:r>
              <a:r>
                <a:rPr kumimoji="0" lang="fr-CA" sz="1200" b="0" i="0" u="none" strike="noStrike" kern="0" cap="none" spc="0" normalizeH="0" baseline="30000" noProof="0">
                  <a:ln>
                    <a:noFill/>
                  </a:ln>
                  <a:solidFill>
                    <a:prstClr val="black"/>
                  </a:solidFill>
                  <a:effectLst/>
                  <a:uLnTx/>
                  <a:uFillTx/>
                  <a:latin typeface="Swis721 Lt BT" panose="020B0403020202020204" pitchFamily="34" charset="0"/>
                  <a:ea typeface="Times New Roman" panose="02020603050405020304" pitchFamily="18" charset="0"/>
                  <a:cs typeface="Times New Roman" panose="02020603050405020304" pitchFamily="18" charset="0"/>
                </a:rPr>
                <a:t>0,1</a:t>
              </a:r>
              <a:r>
                <a:rPr kumimoji="0" lang="fr-CA" sz="1200" b="0" i="0" u="none" strike="noStrike" kern="0" cap="none" spc="0" normalizeH="0" baseline="30000" noProof="0">
                  <a:ln>
                    <a:noFill/>
                  </a:ln>
                  <a:solidFill>
                    <a:prstClr val="black"/>
                  </a:solidFill>
                  <a:effectLst/>
                  <a:uLnTx/>
                  <a:uFillTx/>
                  <a:latin typeface="Cambria Math" panose="02040503050406030204" pitchFamily="18" charset="0"/>
                  <a:ea typeface="Times New Roman" panose="02020603050405020304" pitchFamily="18" charset="0"/>
                  <a:cs typeface="Times New Roman" panose="02020603050405020304" pitchFamily="18" charset="0"/>
                </a:rPr>
                <a:t>" )</a:t>
              </a:r>
              <a:endParaRPr lang="en-CA" sz="1200" i="0">
                <a:latin typeface="Swis721 Lt BT" panose="020B0403020202020204" pitchFamily="34" charset="0"/>
              </a:endParaRPr>
            </a:p>
          </xdr:txBody>
        </xdr:sp>
      </mc:Fallback>
    </mc:AlternateContent>
    <xdr:clientData/>
  </xdr:oneCellAnchor>
  <xdr:oneCellAnchor>
    <xdr:from>
      <xdr:col>5</xdr:col>
      <xdr:colOff>200025</xdr:colOff>
      <xdr:row>207</xdr:row>
      <xdr:rowOff>132238</xdr:rowOff>
    </xdr:from>
    <xdr:ext cx="1619249" cy="236338"/>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00000000-0008-0000-0000-000007000000}"/>
                </a:ext>
              </a:extLst>
            </xdr:cNvPr>
            <xdr:cNvSpPr txBox="1"/>
          </xdr:nvSpPr>
          <xdr:spPr>
            <a:xfrm>
              <a:off x="9563100" y="47176213"/>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a</m:t>
                    </m:r>
                    <m: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 </m:t>
                    </m:r>
                    <m:d>
                      <m:d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dPr>
                      <m:e>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c</m:t>
                        </m:r>
                      </m:e>
                    </m:d>
                    <m:r>
                      <m:rPr>
                        <m:nor/>
                      </m:rP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m:t>b</m:t>
                    </m:r>
                  </m:oMath>
                </m:oMathPara>
              </a14:m>
              <a:endParaRPr lang="fr-CA" sz="1200" i="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7" name="ZoneTexte 6">
              <a:extLst>
                <a:ext uri="{FF2B5EF4-FFF2-40B4-BE49-F238E27FC236}">
                  <a16:creationId xmlns:a16="http://schemas.microsoft.com/office/drawing/2014/main" id="{00000000-0008-0000-0000-000007000000}"/>
                </a:ext>
              </a:extLst>
            </xdr:cNvPr>
            <xdr:cNvSpPr txBox="1"/>
          </xdr:nvSpPr>
          <xdr:spPr>
            <a:xfrm>
              <a:off x="9563100" y="47176213"/>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a" ("t+c" )</a:t>
              </a:r>
              <a: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"b</a:t>
              </a:r>
              <a:r>
                <a:rPr kumimoji="0" lang="en-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a:t>
              </a:r>
              <a:endParaRPr lang="fr-CA" sz="1200" i="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1162050</xdr:colOff>
      <xdr:row>207</xdr:row>
      <xdr:rowOff>103663</xdr:rowOff>
    </xdr:from>
    <xdr:ext cx="1619249" cy="236338"/>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000-000012000000}"/>
                </a:ext>
              </a:extLst>
            </xdr:cNvPr>
            <xdr:cNvSpPr txBox="1"/>
          </xdr:nvSpPr>
          <xdr:spPr>
            <a:xfrm>
              <a:off x="4410075" y="47147638"/>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lang="fr-CA" sz="1200" b="0" i="0">
                        <a:solidFill>
                          <a:srgbClr val="143D8D"/>
                        </a:solidFill>
                        <a:latin typeface="Cambria Math" panose="02040503050406030204" pitchFamily="18" charset="0"/>
                        <a:ea typeface="Cambria Math" panose="02040503050406030204" pitchFamily="18" charset="0"/>
                      </a:rPr>
                      <m:t>a</m:t>
                    </m:r>
                    <m:sSup>
                      <m:sSup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sSupPr>
                      <m:e>
                        <m:r>
                          <m:rPr>
                            <m:sty m:val="p"/>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t</m:t>
                        </m:r>
                      </m:e>
                      <m:sup>
                        <m:r>
                          <m:rPr>
                            <m:sty m:val="p"/>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b</m:t>
                        </m:r>
                      </m:sup>
                    </m:sSup>
                    <m: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 </m:t>
                    </m:r>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8" name="ZoneTexte 17">
              <a:extLst>
                <a:ext uri="{FF2B5EF4-FFF2-40B4-BE49-F238E27FC236}">
                  <a16:creationId xmlns:a16="http://schemas.microsoft.com/office/drawing/2014/main" id="{00000000-0008-0000-0000-000012000000}"/>
                </a:ext>
              </a:extLst>
            </xdr:cNvPr>
            <xdr:cNvSpPr txBox="1"/>
          </xdr:nvSpPr>
          <xdr:spPr>
            <a:xfrm>
              <a:off x="4410075" y="47147638"/>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 t^b  </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0</xdr:col>
      <xdr:colOff>742949</xdr:colOff>
      <xdr:row>277</xdr:row>
      <xdr:rowOff>190498</xdr:rowOff>
    </xdr:from>
    <xdr:ext cx="2886075" cy="513523"/>
    <mc:AlternateContent xmlns:mc="http://schemas.openxmlformats.org/markup-compatibility/2006" xmlns:a14="http://schemas.microsoft.com/office/drawing/2010/main">
      <mc:Choice Requires="a14">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742949" y="61216759"/>
              <a:ext cx="2886075" cy="513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m:rPr>
                      <m:nor/>
                    </m:rPr>
                    <a:rPr lang="fr-CA" sz="1200" i="0">
                      <a:latin typeface="Swis721 Lt BT" panose="020B0403020202020204" pitchFamily="34" charset="0"/>
                    </a:rPr>
                    <m:t>Q</m:t>
                  </m:r>
                  <m:r>
                    <m:rPr>
                      <m:nor/>
                    </m:rPr>
                    <a:rPr lang="fr-CA" sz="1200" b="0" i="0">
                      <a:latin typeface="Cambria Math" panose="02040503050406030204" pitchFamily="18" charset="0"/>
                    </a:rPr>
                    <m:t>=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F</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L</m:t>
                  </m:r>
                  <m:r>
                    <m:rPr>
                      <m:nor/>
                    </m:rPr>
                    <a:rPr lang="fr-CA" sz="1200" b="0" i="0">
                      <a:latin typeface="Cambria Math" panose="02040503050406030204" pitchFamily="18" charset="0"/>
                    </a:rPr>
                    <m:t> </m:t>
                  </m:r>
                  <m:f>
                    <m:fPr>
                      <m:ctrlPr>
                        <a:rPr lang="fr-CA" sz="1200" b="0" i="1">
                          <a:latin typeface="Cambria Math" panose="02040503050406030204" pitchFamily="18" charset="0"/>
                        </a:rPr>
                      </m:ctrlPr>
                    </m:fPr>
                    <m:num>
                      <m:sSub>
                        <m:sSubPr>
                          <m:ctrlPr>
                            <a:rPr lang="fr-CA" sz="1200" b="0" i="1">
                              <a:latin typeface="Cambria Math" panose="02040503050406030204" pitchFamily="18" charset="0"/>
                            </a:rPr>
                          </m:ctrlPr>
                        </m:sSubPr>
                        <m:e>
                          <m:r>
                            <m:rPr>
                              <m:nor/>
                            </m:rPr>
                            <a:rPr lang="fr-CA" sz="1200" b="0" i="0">
                              <a:latin typeface="Swis721 Lt BT" panose="020B0403020202020204" pitchFamily="34" charset="0"/>
                            </a:rPr>
                            <m:t>C</m:t>
                          </m:r>
                          <m:r>
                            <m:rPr>
                              <m:nor/>
                            </m:rPr>
                            <a:rPr lang="fr-CA" sz="1200" b="0" i="0" baseline="-25000">
                              <a:latin typeface="Swis721 Lt BT" panose="020B0403020202020204" pitchFamily="34" charset="0"/>
                            </a:rPr>
                            <m:t>p</m:t>
                          </m:r>
                          <m:r>
                            <m:rPr>
                              <m:nor/>
                            </m:rPr>
                            <a:rPr lang="fr-CA" sz="1200" b="0" i="0" baseline="-25000">
                              <a:latin typeface="Swis721 Lt BT" panose="020B0403020202020204" pitchFamily="34" charset="0"/>
                            </a:rPr>
                            <m:t> </m:t>
                          </m:r>
                          <m:r>
                            <m:rPr>
                              <m:nor/>
                            </m:rPr>
                            <a:rPr lang="fr-CA" sz="1200" b="0" i="0" baseline="-25000">
                              <a:latin typeface="Swis721 Lt BT" panose="020B0403020202020204" pitchFamily="34" charset="0"/>
                            </a:rPr>
                            <m:t>pond</m:t>
                          </m:r>
                          <m:r>
                            <m:rPr>
                              <m:nor/>
                            </m:rPr>
                            <a:rPr lang="fr-CA" sz="1200" b="0" i="0" baseline="-25000">
                              <a:latin typeface="Swis721 Lt BT" panose="020B0403020202020204" pitchFamily="34" charset="0"/>
                            </a:rPr>
                            <m:t>é</m:t>
                          </m:r>
                          <m:r>
                            <m:rPr>
                              <m:nor/>
                            </m:rPr>
                            <a:rPr lang="fr-CA" sz="1200" b="0" i="0" baseline="-25000">
                              <a:latin typeface="Swis721 Lt BT" panose="020B0403020202020204" pitchFamily="34" charset="0"/>
                            </a:rPr>
                            <m:t>r</m:t>
                          </m:r>
                          <m:r>
                            <m:rPr>
                              <m:nor/>
                            </m:rPr>
                            <a:rPr lang="fr-CA" sz="1200" b="0" i="0" baseline="-25000">
                              <a:latin typeface="Swis721 Lt BT" panose="020B0403020202020204" pitchFamily="34" charset="0"/>
                            </a:rPr>
                            <m:t>é</m:t>
                          </m:r>
                        </m:e>
                        <m:sub>
                          <m:r>
                            <m:rPr>
                              <m:nor/>
                            </m:rPr>
                            <a:rPr lang="fr-CA" sz="1200" b="0" i="0">
                              <a:latin typeface="Cambria Math" panose="02040503050406030204" pitchFamily="18" charset="0"/>
                            </a:rPr>
                            <m:t> </m:t>
                          </m:r>
                        </m:sub>
                      </m:sSub>
                      <m:r>
                        <m:rPr>
                          <m:nor/>
                        </m:rPr>
                        <a:rPr lang="fr-CA" sz="1200" b="0" i="0">
                          <a:latin typeface="Cambria Math" panose="02040503050406030204" pitchFamily="18" charset="0"/>
                        </a:rPr>
                        <m:t> </m:t>
                      </m:r>
                      <m:sSub>
                        <m:sSubPr>
                          <m:ctrlPr>
                            <a:rPr lang="fr-CA" sz="1200" b="0" i="1" spc="0">
                              <a:latin typeface="Cambria Math" panose="02040503050406030204" pitchFamily="18" charset="0"/>
                            </a:rPr>
                          </m:ctrlPr>
                        </m:sSubPr>
                        <m:e>
                          <m:r>
                            <m:rPr>
                              <m:nor/>
                            </m:rPr>
                            <a:rPr lang="fr-CA" sz="1200" b="0" i="0" spc="0" baseline="0">
                              <a:latin typeface="Swis721 Lt BT" panose="020B0403020202020204" pitchFamily="34" charset="0"/>
                            </a:rPr>
                            <m:t>I</m:t>
                          </m:r>
                        </m:e>
                        <m:sub>
                          <m:sSub>
                            <m:sSubPr>
                              <m:ctrlPr>
                                <a:rPr lang="fr-CA" sz="1200" b="0" i="1" spc="0">
                                  <a:latin typeface="Cambria Math" panose="02040503050406030204" pitchFamily="18" charset="0"/>
                                </a:rPr>
                              </m:ctrlPr>
                            </m:sSubPr>
                            <m:e>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t</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c</m:t>
                              </m:r>
                            </m:e>
                            <m:sub>
                              <m:r>
                                <m:rPr>
                                  <m:nor/>
                                </m:rPr>
                                <a:rPr lang="fr-CA" sz="1200" b="0" i="0" spc="0">
                                  <a:solidFill>
                                    <a:schemeClr val="bg1"/>
                                  </a:solidFill>
                                  <a:latin typeface="Swis721 Lt BT" panose="020B0403020202020204" pitchFamily="34" charset="0"/>
                                </a:rPr>
                                <m:t>i</m:t>
                              </m:r>
                            </m:sub>
                          </m:sSub>
                        </m:sub>
                      </m:sSub>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A</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b</m:t>
                      </m:r>
                    </m:num>
                    <m:den>
                      <m:sSubSup>
                        <m:sSubSupPr>
                          <m:ctrlPr>
                            <a:rPr lang="fr-CA" sz="1200" b="0" i="1">
                              <a:latin typeface="Cambria Math" panose="02040503050406030204" pitchFamily="18" charset="0"/>
                            </a:rPr>
                          </m:ctrlPr>
                        </m:sSubSupPr>
                        <m:e>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360</m:t>
                          </m:r>
                        </m:e>
                        <m:sub>
                          <m:r>
                            <m:rPr>
                              <m:nor/>
                            </m:rPr>
                            <a:rPr lang="fr-CA" sz="1200" b="0" i="0">
                              <a:solidFill>
                                <a:schemeClr val="bg1"/>
                              </a:solidFill>
                              <a:latin typeface="Swis721 Lt BT" panose="020B0403020202020204" pitchFamily="34" charset="0"/>
                            </a:rPr>
                            <m:t>i</m:t>
                          </m:r>
                        </m:sub>
                        <m:sup>
                          <m:r>
                            <m:rPr>
                              <m:nor/>
                            </m:rPr>
                            <a:rPr lang="fr-CA" sz="1200" b="0" i="0">
                              <a:solidFill>
                                <a:schemeClr val="bg1"/>
                              </a:solidFill>
                              <a:latin typeface="Swis721 Lt BT" panose="020B0403020202020204" pitchFamily="34" charset="0"/>
                            </a:rPr>
                            <m:t>i</m:t>
                          </m:r>
                        </m:sup>
                      </m:sSubSup>
                    </m:den>
                  </m:f>
                </m:oMath>
              </a14:m>
              <a:r>
                <a:rPr lang="en-CA" sz="1200" i="0">
                  <a:latin typeface="Swis721 Lt BT" panose="020B0403020202020204" pitchFamily="34" charset="0"/>
                </a:rPr>
                <a:t>  (métrique)</a:t>
              </a:r>
            </a:p>
          </xdr:txBody>
        </xdr:sp>
      </mc:Choice>
      <mc:Fallback xmlns="">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742949" y="61216759"/>
              <a:ext cx="2886075" cy="5135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fr-CA" sz="1200" i="0">
                  <a:latin typeface="Cambria Math" panose="02040503050406030204" pitchFamily="18" charset="0"/>
                </a:rPr>
                <a:t>"Q</a:t>
              </a:r>
              <a:r>
                <a:rPr lang="fr-CA" sz="1200" b="0" i="0">
                  <a:latin typeface="Cambria Math" panose="020405030504060302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F</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L</a:t>
              </a:r>
              <a:r>
                <a:rPr lang="fr-CA" sz="1200" b="0" i="0">
                  <a:latin typeface="Cambria Math" panose="02040503050406030204" pitchFamily="18" charset="0"/>
                </a:rPr>
                <a:t> "  (〖"</a:t>
              </a:r>
              <a:r>
                <a:rPr lang="fr-CA" sz="1200" b="0" i="0">
                  <a:latin typeface="Swis721 Lt BT" panose="020B0403020202020204" pitchFamily="34" charset="0"/>
                </a:rPr>
                <a:t>C</a:t>
              </a:r>
              <a:r>
                <a:rPr lang="fr-CA" sz="1200" b="0" i="0" baseline="-25000">
                  <a:latin typeface="Swis721 Lt BT" panose="020B0403020202020204" pitchFamily="34" charset="0"/>
                </a:rPr>
                <a:t>p pondéré</a:t>
              </a:r>
              <a:r>
                <a:rPr lang="fr-CA" sz="1200" b="0" i="0" baseline="-25000">
                  <a:latin typeface="Cambria Math" panose="02040503050406030204" pitchFamily="18" charset="0"/>
                </a:rPr>
                <a:t>" 〗_"</a:t>
              </a:r>
              <a:r>
                <a:rPr lang="fr-CA" sz="1200" b="0" i="0">
                  <a:latin typeface="Cambria Math" panose="02040503050406030204" pitchFamily="18" charset="0"/>
                </a:rPr>
                <a:t> "  " </a:t>
              </a:r>
              <a:r>
                <a:rPr lang="fr-CA" sz="1200" b="0" i="0" spc="0">
                  <a:latin typeface="Cambria Math" panose="02040503050406030204" pitchFamily="18" charset="0"/>
                </a:rPr>
                <a:t>" </a:t>
              </a:r>
              <a:r>
                <a:rPr lang="fr-CA" sz="1200" b="0" i="0" spc="0" baseline="0">
                  <a:latin typeface="Cambria Math" panose="02040503050406030204" pitchFamily="18" charset="0"/>
                </a:rPr>
                <a:t>"</a:t>
              </a:r>
              <a:r>
                <a:rPr lang="fr-CA" sz="1200" b="0" i="0" spc="0" baseline="0">
                  <a:latin typeface="Swis721 Lt BT" panose="020B0403020202020204" pitchFamily="34" charset="0"/>
                </a:rPr>
                <a:t>I</a:t>
              </a:r>
              <a:r>
                <a:rPr lang="fr-CA" sz="1200" b="0" i="0" spc="0" baseline="0">
                  <a:latin typeface="Cambria Math" panose="02040503050406030204" pitchFamily="18" charset="0"/>
                </a:rPr>
                <a:t>" _(〖</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t</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c</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 〗_</a:t>
              </a:r>
              <a:r>
                <a:rPr kumimoji="0" lang="fr-CA" sz="1200" b="0" i="0" u="none" strike="noStrike" kern="0" cap="none" spc="0" normalizeH="0" baseline="-25000" noProof="0">
                  <a:ln>
                    <a:noFill/>
                  </a:ln>
                  <a:solidFill>
                    <a:schemeClr val="bg1"/>
                  </a:solidFill>
                  <a:effectLst/>
                  <a:uLnTx/>
                  <a:uFillTx/>
                  <a:latin typeface="Cambria Math" panose="02040503050406030204" pitchFamily="18" charset="0"/>
                  <a:ea typeface="+mn-ea"/>
                  <a:cs typeface="+mn-cs"/>
                </a:rPr>
                <a:t>"</a:t>
              </a:r>
              <a:r>
                <a:rPr lang="fr-CA" sz="1200" b="0" i="0" spc="0">
                  <a:solidFill>
                    <a:schemeClr val="bg1"/>
                  </a:solidFill>
                  <a:latin typeface="Swis721 Lt BT" panose="020B0403020202020204" pitchFamily="34" charset="0"/>
                </a:rPr>
                <a:t>i</a:t>
              </a:r>
              <a:r>
                <a:rPr lang="fr-CA" sz="1200" b="0" i="0" spc="0">
                  <a:solidFill>
                    <a:schemeClr val="bg1"/>
                  </a:solidFill>
                  <a:latin typeface="Cambria Math" panose="02040503050406030204" pitchFamily="18" charset="0"/>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 "</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A</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b</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360</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 〗_</a:t>
              </a:r>
              <a:r>
                <a:rPr kumimoji="0" lang="fr-CA" sz="1200" b="0" i="0" u="none" strike="noStrike" kern="0" cap="none" spc="0" normalizeH="0" baseline="0" noProof="0">
                  <a:ln>
                    <a:noFill/>
                  </a:ln>
                  <a:solidFill>
                    <a:schemeClr val="bg1"/>
                  </a:solidFill>
                  <a:effectLst/>
                  <a:uLnTx/>
                  <a:uFillTx/>
                  <a:latin typeface="Cambria Math" panose="02040503050406030204" pitchFamily="18" charset="0"/>
                  <a:ea typeface="+mn-ea"/>
                  <a:cs typeface="+mn-cs"/>
                </a:rPr>
                <a:t>"</a:t>
              </a:r>
              <a:r>
                <a:rPr lang="fr-CA" sz="1200" b="0" i="0">
                  <a:solidFill>
                    <a:schemeClr val="bg1"/>
                  </a:solidFill>
                  <a:latin typeface="Swis721 Lt BT" panose="020B0403020202020204" pitchFamily="34" charset="0"/>
                </a:rPr>
                <a:t>i</a:t>
              </a:r>
              <a:r>
                <a:rPr lang="fr-CA" sz="1200" b="0" i="0">
                  <a:solidFill>
                    <a:schemeClr val="bg1"/>
                  </a:solidFill>
                  <a:latin typeface="Cambria Math" panose="02040503050406030204" pitchFamily="18" charset="0"/>
                </a:rPr>
                <a:t>" ^"</a:t>
              </a:r>
              <a:r>
                <a:rPr lang="fr-CA" sz="1200" b="0" i="0">
                  <a:solidFill>
                    <a:schemeClr val="bg1"/>
                  </a:solidFill>
                  <a:latin typeface="Swis721 Lt BT" panose="020B0403020202020204" pitchFamily="34" charset="0"/>
                </a:rPr>
                <a:t>i</a:t>
              </a:r>
              <a:r>
                <a:rPr lang="fr-CA" sz="1200" b="0" i="0">
                  <a:solidFill>
                    <a:schemeClr val="bg1"/>
                  </a:solidFill>
                  <a:latin typeface="Cambria Math" panose="02040503050406030204" pitchFamily="18" charset="0"/>
                </a:rPr>
                <a:t>"  )</a:t>
              </a:r>
              <a:r>
                <a:rPr lang="en-CA" sz="1200" i="0">
                  <a:latin typeface="Swis721 Lt BT" panose="020B0403020202020204" pitchFamily="34" charset="0"/>
                </a:rPr>
                <a:t>  (métrique)</a:t>
              </a:r>
            </a:p>
          </xdr:txBody>
        </xdr:sp>
      </mc:Fallback>
    </mc:AlternateContent>
    <xdr:clientData/>
  </xdr:oneCellAnchor>
  <mc:AlternateContent xmlns:mc="http://schemas.openxmlformats.org/markup-compatibility/2006">
    <mc:Choice xmlns:a14="http://schemas.microsoft.com/office/drawing/2010/main" Requires="a14">
      <xdr:twoCellAnchor editAs="absolute">
        <xdr:from>
          <xdr:col>8</xdr:col>
          <xdr:colOff>171450</xdr:colOff>
          <xdr:row>6</xdr:row>
          <xdr:rowOff>85725</xdr:rowOff>
        </xdr:from>
        <xdr:to>
          <xdr:col>13</xdr:col>
          <xdr:colOff>838200</xdr:colOff>
          <xdr:row>31</xdr:row>
          <xdr:rowOff>38100</xdr:rowOff>
        </xdr:to>
        <xdr:sp macro="" textlink="">
          <xdr:nvSpPr>
            <xdr:cNvPr id="1122" name="Object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104775</xdr:colOff>
          <xdr:row>45</xdr:row>
          <xdr:rowOff>123825</xdr:rowOff>
        </xdr:from>
        <xdr:to>
          <xdr:col>13</xdr:col>
          <xdr:colOff>781050</xdr:colOff>
          <xdr:row>85</xdr:row>
          <xdr:rowOff>66675</xdr:rowOff>
        </xdr:to>
        <xdr:sp macro="" textlink="">
          <xdr:nvSpPr>
            <xdr:cNvPr id="1123" name="Object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28575</xdr:colOff>
          <xdr:row>99</xdr:row>
          <xdr:rowOff>85725</xdr:rowOff>
        </xdr:from>
        <xdr:to>
          <xdr:col>13</xdr:col>
          <xdr:colOff>695325</xdr:colOff>
          <xdr:row>135</xdr:row>
          <xdr:rowOff>114300</xdr:rowOff>
        </xdr:to>
        <xdr:sp macro="" textlink="">
          <xdr:nvSpPr>
            <xdr:cNvPr id="1124" name="Object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180975</xdr:colOff>
          <xdr:row>150</xdr:row>
          <xdr:rowOff>76200</xdr:rowOff>
        </xdr:from>
        <xdr:to>
          <xdr:col>13</xdr:col>
          <xdr:colOff>857250</xdr:colOff>
          <xdr:row>177</xdr:row>
          <xdr:rowOff>123825</xdr:rowOff>
        </xdr:to>
        <xdr:sp macro="" textlink="">
          <xdr:nvSpPr>
            <xdr:cNvPr id="1125" name="Object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28575</xdr:colOff>
          <xdr:row>192</xdr:row>
          <xdr:rowOff>114300</xdr:rowOff>
        </xdr:from>
        <xdr:to>
          <xdr:col>13</xdr:col>
          <xdr:colOff>695325</xdr:colOff>
          <xdr:row>223</xdr:row>
          <xdr:rowOff>76200</xdr:rowOff>
        </xdr:to>
        <xdr:sp macro="" textlink="">
          <xdr:nvSpPr>
            <xdr:cNvPr id="1127" name="Object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oneCellAnchor>
    <xdr:from>
      <xdr:col>0</xdr:col>
      <xdr:colOff>224116</xdr:colOff>
      <xdr:row>149</xdr:row>
      <xdr:rowOff>33617</xdr:rowOff>
    </xdr:from>
    <xdr:ext cx="1743075" cy="374013"/>
    <mc:AlternateContent xmlns:mc="http://schemas.openxmlformats.org/markup-compatibility/2006" xmlns:a14="http://schemas.microsoft.com/office/drawing/2010/main">
      <mc:Choice Requires="a14">
        <xdr:sp macro="" textlink="">
          <xdr:nvSpPr>
            <xdr:cNvPr id="14" name="ZoneTexte 13">
              <a:extLst>
                <a:ext uri="{FF2B5EF4-FFF2-40B4-BE49-F238E27FC236}">
                  <a16:creationId xmlns:a16="http://schemas.microsoft.com/office/drawing/2014/main" id="{00000000-0008-0000-0000-00000E000000}"/>
                </a:ext>
              </a:extLst>
            </xdr:cNvPr>
            <xdr:cNvSpPr txBox="1"/>
          </xdr:nvSpPr>
          <xdr:spPr>
            <a:xfrm>
              <a:off x="224116" y="32708508"/>
              <a:ext cx="1743075"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S</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c</m:t>
                    </m:r>
                    <m:r>
                      <a:rPr lang="en-CA" sz="1200" i="1">
                        <a:solidFill>
                          <a:schemeClr val="tx1"/>
                        </a:solidFill>
                        <a:effectLst/>
                        <a:latin typeface="Cambria Math" panose="02040503050406030204" pitchFamily="18" charset="0"/>
                        <a:ea typeface="+mn-ea"/>
                        <a:cs typeface="+mn-cs"/>
                      </a:rPr>
                      <m:t> = </m:t>
                    </m:r>
                    <m:f>
                      <m:fPr>
                        <m:ctrlPr>
                          <a:rPr lang="fr-CA" sz="1200" i="1">
                            <a:solidFill>
                              <a:schemeClr val="tx1"/>
                            </a:solidFill>
                            <a:effectLst/>
                            <a:latin typeface="Cambria Math" panose="02040503050406030204" pitchFamily="18" charset="0"/>
                            <a:ea typeface="+mn-ea"/>
                            <a:cs typeface="+mn-cs"/>
                          </a:rPr>
                        </m:ctrlPr>
                      </m:fPr>
                      <m:num>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Z</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85</m:t>
                        </m:r>
                        <m:r>
                          <a:rPr kumimoji="0" lang="en-CA" sz="12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t> </m:t>
                        </m:r>
                        <m:r>
                          <a:rPr kumimoji="0" lang="fr-CA" sz="12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t>−</m:t>
                        </m:r>
                        <m:r>
                          <a:rPr kumimoji="0" lang="en-CA" sz="1200" b="0" i="1" u="none" strike="noStrike" kern="0" cap="none" spc="0" normalizeH="0" baseline="0" noProof="0">
                            <a:ln>
                              <a:noFill/>
                            </a:ln>
                            <a:solidFill>
                              <a:prstClr val="black"/>
                            </a:solidFill>
                            <a:effectLst/>
                            <a:uLnTx/>
                            <a:uFillTx/>
                            <a:latin typeface="Cambria Math" panose="02040503050406030204" pitchFamily="18" charset="0"/>
                            <a:ea typeface="+mn-ea"/>
                            <a:cs typeface="+mn-cs"/>
                          </a:rPr>
                          <m:t>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Z</m:t>
                        </m:r>
                        <m:r>
                          <m:rPr>
                            <m:nor/>
                          </m:rP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m:t>10</m:t>
                        </m:r>
                      </m:num>
                      <m:den>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0,75 </m:t>
                        </m:r>
                        <m:r>
                          <m:rPr>
                            <m:nor/>
                          </m:rP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m:t>Lc</m:t>
                        </m:r>
                      </m:den>
                    </m:f>
                  </m:oMath>
                </m:oMathPara>
              </a14:m>
              <a:endParaRPr lang="en-CA" sz="1200" i="0">
                <a:latin typeface="Swis721 Lt BT" panose="020B0403020202020204" pitchFamily="34" charset="0"/>
              </a:endParaRPr>
            </a:p>
          </xdr:txBody>
        </xdr:sp>
      </mc:Choice>
      <mc:Fallback xmlns="">
        <xdr:sp macro="" textlink="">
          <xdr:nvSpPr>
            <xdr:cNvPr id="14" name="ZoneTexte 13">
              <a:extLst>
                <a:ext uri="{FF2B5EF4-FFF2-40B4-BE49-F238E27FC236}">
                  <a16:creationId xmlns:a16="http://schemas.microsoft.com/office/drawing/2014/main" id="{83751A2C-F2EC-4EB3-B643-4E9C461AA161}"/>
                </a:ext>
              </a:extLst>
            </xdr:cNvPr>
            <xdr:cNvSpPr txBox="1"/>
          </xdr:nvSpPr>
          <xdr:spPr>
            <a:xfrm>
              <a:off x="224116" y="32708508"/>
              <a:ext cx="1743075" cy="374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"S</a:t>
              </a:r>
              <a:r>
                <a:rPr kumimoji="0" lang="fr-CA" sz="1200" b="0" i="0" u="none" strike="noStrike" kern="0" cap="none" spc="0" normalizeH="0" baseline="-25000" noProof="0">
                  <a:ln>
                    <a:noFill/>
                  </a:ln>
                  <a:solidFill>
                    <a:prstClr val="black"/>
                  </a:solidFill>
                  <a:effectLst/>
                  <a:uLnTx/>
                  <a:uFillTx/>
                  <a:latin typeface="Cambria Math" panose="02040503050406030204" pitchFamily="18" charset="0"/>
                  <a:ea typeface="+mn-ea"/>
                  <a:cs typeface="+mn-cs"/>
                </a:rPr>
                <a:t>c</a:t>
              </a:r>
              <a:r>
                <a:rPr kumimoji="0" lang="en-CA" sz="1200" b="0" i="0" u="none" strike="noStrike" kern="0" cap="none" spc="0" normalizeH="0" baseline="-25000" noProof="0">
                  <a:ln>
                    <a:noFill/>
                  </a:ln>
                  <a:solidFill>
                    <a:schemeClr val="tx1"/>
                  </a:solidFill>
                  <a:effectLst/>
                  <a:uLnTx/>
                  <a:uFillTx/>
                  <a:latin typeface="+mn-lt"/>
                  <a:ea typeface="+mn-ea"/>
                  <a:cs typeface="+mn-cs"/>
                </a:rPr>
                <a:t>"</a:t>
              </a:r>
              <a:r>
                <a:rPr lang="en-CA" sz="1200" i="0">
                  <a:solidFill>
                    <a:schemeClr val="tx1"/>
                  </a:solidFill>
                  <a:effectLst/>
                  <a:latin typeface="+mn-lt"/>
                  <a:ea typeface="+mn-ea"/>
                  <a:cs typeface="+mn-cs"/>
                </a:rPr>
                <a:t> = </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 </a:t>
              </a:r>
              <a:r>
                <a:rPr kumimoji="0" lang="fr-CA" sz="1200" b="0" i="0" u="none" strike="noStrike" kern="0" cap="none" spc="0" normalizeH="0" baseline="0" noProof="0">
                  <a:ln>
                    <a:noFill/>
                  </a:ln>
                  <a:solidFill>
                    <a:schemeClr val="tx1"/>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Z</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85</a:t>
              </a:r>
              <a:r>
                <a:rPr kumimoji="0" lang="en-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a:t>
              </a:r>
              <a:r>
                <a:rPr kumimoji="0" lang="en-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 </a:t>
              </a:r>
              <a:r>
                <a:rPr kumimoji="0" lang="fr-CA" sz="1200" b="0" i="0" u="none" strike="noStrike" kern="0" cap="none" spc="0" normalizeH="0" baseline="0" noProof="0">
                  <a:ln>
                    <a:noFill/>
                  </a:ln>
                  <a:solidFill>
                    <a:prstClr val="black"/>
                  </a:solidFill>
                  <a:effectLst/>
                  <a:uLnTx/>
                  <a:uFillTx/>
                  <a:latin typeface="Cambria Math" panose="02040503050406030204" pitchFamily="18" charset="0"/>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Z</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10</a:t>
              </a:r>
              <a:r>
                <a:rPr kumimoji="0" lang="en-CA" sz="1200" b="0" i="0" u="none" strike="noStrike" kern="0" cap="none" spc="0" normalizeH="0" baseline="-25000" noProof="0">
                  <a:ln>
                    <a:noFill/>
                  </a:ln>
                  <a:solidFill>
                    <a:schemeClr val="tx1"/>
                  </a:solidFill>
                  <a:effectLst/>
                  <a:uLnTx/>
                  <a:uFillTx/>
                  <a:latin typeface="+mn-lt"/>
                  <a:ea typeface="+mn-ea"/>
                  <a:cs typeface="+mn-cs"/>
                </a:rPr>
                <a:t>" </a:t>
              </a:r>
              <a:r>
                <a:rPr kumimoji="0" lang="fr-CA" sz="1200" b="0" i="0" u="none" strike="noStrike" kern="0" cap="none" spc="0" normalizeH="0" baseline="-25000" noProof="0">
                  <a:ln>
                    <a:noFill/>
                  </a:ln>
                  <a:solidFill>
                    <a:schemeClr val="tx1"/>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mn-lt"/>
                  <a:ea typeface="+mn-ea"/>
                  <a:cs typeface="+mn-cs"/>
                </a:rPr>
                <a:t>"</a:t>
              </a:r>
              <a:r>
                <a:rPr kumimoji="0" lang="fr-CA" sz="1200" b="0" i="0" u="none" strike="noStrike" kern="0" cap="none" spc="0" normalizeH="0" baseline="0" noProof="0">
                  <a:ln>
                    <a:noFill/>
                  </a:ln>
                  <a:solidFill>
                    <a:prstClr val="black"/>
                  </a:solidFill>
                  <a:effectLst/>
                  <a:uLnTx/>
                  <a:uFillTx/>
                  <a:latin typeface="Swis721 Lt BT" panose="020B0403020202020204" pitchFamily="34" charset="0"/>
                  <a:ea typeface="+mn-ea"/>
                  <a:cs typeface="+mn-cs"/>
                </a:rPr>
                <a:t>0,75 L</a:t>
              </a:r>
              <a:r>
                <a:rPr kumimoji="0" lang="fr-CA" sz="1200" b="0" i="0" u="none" strike="noStrike" kern="0" cap="none" spc="0" normalizeH="0" baseline="-25000" noProof="0">
                  <a:ln>
                    <a:noFill/>
                  </a:ln>
                  <a:solidFill>
                    <a:prstClr val="black"/>
                  </a:solidFill>
                  <a:effectLst/>
                  <a:uLnTx/>
                  <a:uFillTx/>
                  <a:latin typeface="Swis721 Lt BT" panose="020B0403020202020204" pitchFamily="34" charset="0"/>
                  <a:ea typeface="+mn-ea"/>
                  <a:cs typeface="+mn-cs"/>
                </a:rPr>
                <a:t>c</a:t>
              </a:r>
              <a:r>
                <a:rPr kumimoji="0" lang="en-CA" sz="1200" b="0" i="0" u="none" strike="noStrike" kern="0" cap="none" spc="0" normalizeH="0" baseline="-25000" noProof="0">
                  <a:ln>
                    <a:noFill/>
                  </a:ln>
                  <a:solidFill>
                    <a:schemeClr val="tx1"/>
                  </a:solidFill>
                  <a:effectLst/>
                  <a:uLnTx/>
                  <a:uFillTx/>
                  <a:latin typeface="+mn-lt"/>
                  <a:ea typeface="+mn-ea"/>
                  <a:cs typeface="+mn-cs"/>
                </a:rPr>
                <a:t>" </a:t>
              </a:r>
              <a:endParaRPr lang="en-CA" sz="1200" i="0">
                <a:latin typeface="Swis721 Lt BT" panose="020B0403020202020204" pitchFamily="34" charset="0"/>
              </a:endParaRPr>
            </a:p>
          </xdr:txBody>
        </xdr:sp>
      </mc:Fallback>
    </mc:AlternateContent>
    <xdr:clientData/>
  </xdr:oneCellAnchor>
  <xdr:oneCellAnchor>
    <xdr:from>
      <xdr:col>0</xdr:col>
      <xdr:colOff>1203463</xdr:colOff>
      <xdr:row>235</xdr:row>
      <xdr:rowOff>64603</xdr:rowOff>
    </xdr:from>
    <xdr:ext cx="1016275" cy="308114"/>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000-000014000000}"/>
                </a:ext>
              </a:extLst>
            </xdr:cNvPr>
            <xdr:cNvSpPr txBox="1"/>
          </xdr:nvSpPr>
          <xdr:spPr>
            <a:xfrm>
              <a:off x="1203463" y="52120799"/>
              <a:ext cx="1016275" cy="30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sSub>
                    <m:sSubPr>
                      <m:ctrlPr>
                        <a:rPr lang="fr-CA" sz="1200" i="1">
                          <a:solidFill>
                            <a:sysClr val="windowText" lastClr="000000"/>
                          </a:solidFill>
                          <a:latin typeface="Cambria Math" panose="02040503050406030204" pitchFamily="18" charset="0"/>
                        </a:rPr>
                      </m:ctrlPr>
                    </m:sSubPr>
                    <m:e>
                      <m:r>
                        <m:rPr>
                          <m:nor/>
                        </m:rPr>
                        <a:rPr lang="fr-CA" sz="1200" b="0" i="0">
                          <a:solidFill>
                            <a:sysClr val="windowText" lastClr="000000"/>
                          </a:solidFill>
                          <a:latin typeface="Swis721 Lt BT" panose="020B0403020202020204" pitchFamily="34" charset="0"/>
                        </a:rPr>
                        <m:t>I</m:t>
                      </m:r>
                    </m:e>
                    <m:sub>
                      <m:r>
                        <m:rPr>
                          <m:nor/>
                        </m:rPr>
                        <a:rPr lang="fr-CA" sz="1200" b="0" i="0">
                          <a:solidFill>
                            <a:sysClr val="windowText" lastClr="000000"/>
                          </a:solidFill>
                          <a:latin typeface="Swis721 Lt BT" panose="020B0403020202020204" pitchFamily="34" charset="0"/>
                        </a:rPr>
                        <m:t>t</m:t>
                      </m:r>
                      <m:r>
                        <m:rPr>
                          <m:nor/>
                        </m:rPr>
                        <a:rPr lang="fr-CA" sz="1200" b="0" i="0" baseline="-25000">
                          <a:solidFill>
                            <a:sysClr val="windowText" lastClr="000000"/>
                          </a:solidFill>
                          <a:latin typeface="Swis721 Lt BT" panose="020B0403020202020204" pitchFamily="34" charset="0"/>
                        </a:rPr>
                        <m:t>c</m:t>
                      </m:r>
                    </m:sub>
                  </m:sSub>
                  <m:r>
                    <m:rPr>
                      <m:nor/>
                    </m:rPr>
                    <a:rPr lang="fr-CA" sz="1200" b="0" i="0">
                      <a:solidFill>
                        <a:sysClr val="windowText" lastClr="000000"/>
                      </a:solidFill>
                      <a:latin typeface="Cambria Math" panose="02040503050406030204" pitchFamily="18" charset="0"/>
                    </a:rPr>
                    <m:t>= </m:t>
                  </m:r>
                  <m:r>
                    <m:rPr>
                      <m:nor/>
                    </m:rPr>
                    <a:rPr lang="fr-CA" sz="1200" b="0" i="0">
                      <a:solidFill>
                        <a:sysClr val="windowText" lastClr="000000"/>
                      </a:solidFill>
                      <a:latin typeface="Swis721 Lt BT" panose="020B0403020202020204" pitchFamily="34" charset="0"/>
                    </a:rPr>
                    <m:t>F</m:t>
                  </m:r>
                  <m:r>
                    <m:rPr>
                      <m:nor/>
                    </m:rPr>
                    <a:rPr lang="fr-CA" sz="1200" b="0" i="0" baseline="-25000">
                      <a:solidFill>
                        <a:sysClr val="windowText" lastClr="000000"/>
                      </a:solidFill>
                      <a:latin typeface="Swis721 Lt BT" panose="020B0403020202020204" pitchFamily="34" charset="0"/>
                    </a:rPr>
                    <m:t>i</m:t>
                  </m:r>
                  <m:r>
                    <m:rPr>
                      <m:nor/>
                    </m:rPr>
                    <a:rPr lang="fr-CA" sz="1200" b="0" i="0">
                      <a:solidFill>
                        <a:sysClr val="windowText" lastClr="000000"/>
                      </a:solidFill>
                      <a:latin typeface="Cambria Math" panose="02040503050406030204" pitchFamily="18" charset="0"/>
                    </a:rPr>
                    <m:t> </m:t>
                  </m:r>
                  <m:r>
                    <m:rPr>
                      <m:nor/>
                    </m:rPr>
                    <a:rPr lang="fr-CA" sz="1200" b="0" i="0">
                      <a:solidFill>
                        <a:sysClr val="windowText" lastClr="000000"/>
                      </a:solidFill>
                      <a:latin typeface="Swis721 Lt BT" panose="020B0403020202020204" pitchFamily="34" charset="0"/>
                    </a:rPr>
                    <m:t>F</m:t>
                  </m:r>
                  <m:r>
                    <m:rPr>
                      <m:nor/>
                    </m:rPr>
                    <a:rPr lang="fr-CA" sz="1200" b="0" i="0" baseline="-25000">
                      <a:solidFill>
                        <a:sysClr val="windowText" lastClr="000000"/>
                      </a:solidFill>
                      <a:latin typeface="Swis721 Lt BT" panose="020B0403020202020204" pitchFamily="34" charset="0"/>
                    </a:rPr>
                    <m:t>q</m:t>
                  </m:r>
                </m:oMath>
              </a14:m>
              <a:r>
                <a:rPr lang="fr-CA" sz="1200">
                  <a:solidFill>
                    <a:sysClr val="windowText" lastClr="000000"/>
                  </a:solidFill>
                </a:rPr>
                <a:t> </a:t>
              </a:r>
              <a:r>
                <a:rPr lang="fr-CA" sz="1200">
                  <a:solidFill>
                    <a:sysClr val="windowText" lastClr="000000"/>
                  </a:solidFill>
                  <a:latin typeface="Swis721 Lt BT" panose="020B0403020202020204" pitchFamily="34" charset="0"/>
                </a:rPr>
                <a:t>I</a:t>
              </a:r>
              <a:r>
                <a:rPr lang="fr-CA" sz="1200" baseline="-25000">
                  <a:solidFill>
                    <a:sysClr val="windowText" lastClr="000000"/>
                  </a:solidFill>
                  <a:latin typeface="Swis721 Lt BT" panose="020B0403020202020204" pitchFamily="34" charset="0"/>
                </a:rPr>
                <a:t>25,60</a:t>
              </a:r>
            </a:p>
          </xdr:txBody>
        </xdr:sp>
      </mc:Choice>
      <mc:Fallback xmlns="">
        <xdr:sp macro="" textlink="">
          <xdr:nvSpPr>
            <xdr:cNvPr id="20" name="ZoneTexte 19">
              <a:extLst>
                <a:ext uri="{FF2B5EF4-FFF2-40B4-BE49-F238E27FC236}">
                  <a16:creationId xmlns:a16="http://schemas.microsoft.com/office/drawing/2014/main" id="{F3D0BE65-056F-1845-82CF-5165EDFA8F7F}"/>
                </a:ext>
              </a:extLst>
            </xdr:cNvPr>
            <xdr:cNvSpPr txBox="1"/>
          </xdr:nvSpPr>
          <xdr:spPr>
            <a:xfrm>
              <a:off x="1203463" y="52120799"/>
              <a:ext cx="1016275" cy="30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fr-CA" sz="1200" b="0" i="0">
                  <a:solidFill>
                    <a:sysClr val="windowText" lastClr="000000"/>
                  </a:solidFill>
                  <a:latin typeface="Swis721 Lt BT" panose="020B0403020202020204" pitchFamily="34" charset="0"/>
                </a:rPr>
                <a:t>"I</a:t>
              </a:r>
              <a:r>
                <a:rPr lang="fr-CA" sz="1200" b="0" i="0">
                  <a:solidFill>
                    <a:sysClr val="windowText" lastClr="000000"/>
                  </a:solidFill>
                  <a:latin typeface="Cambria Math" panose="02040503050406030204" pitchFamily="18" charset="0"/>
                </a:rPr>
                <a:t>" _"</a:t>
              </a:r>
              <a:r>
                <a:rPr lang="fr-CA" sz="1200" b="0" i="0">
                  <a:solidFill>
                    <a:sysClr val="windowText" lastClr="000000"/>
                  </a:solidFill>
                  <a:latin typeface="Swis721 Lt BT" panose="020B0403020202020204" pitchFamily="34" charset="0"/>
                </a:rPr>
                <a:t>t</a:t>
              </a:r>
              <a:r>
                <a:rPr lang="fr-CA" sz="1200" b="0" i="0" baseline="-25000">
                  <a:solidFill>
                    <a:sysClr val="windowText" lastClr="000000"/>
                  </a:solidFill>
                  <a:latin typeface="Swis721 Lt BT" panose="020B0403020202020204" pitchFamily="34" charset="0"/>
                </a:rPr>
                <a:t>c</a:t>
              </a:r>
              <a:r>
                <a:rPr lang="fr-CA" sz="1200" b="0" i="0" baseline="-25000">
                  <a:solidFill>
                    <a:sysClr val="windowText" lastClr="000000"/>
                  </a:solidFill>
                  <a:latin typeface="Cambria Math" panose="02040503050406030204" pitchFamily="18" charset="0"/>
                </a:rPr>
                <a:t>"  "</a:t>
              </a:r>
              <a:r>
                <a:rPr lang="fr-CA" sz="1200" b="0" i="0">
                  <a:solidFill>
                    <a:sysClr val="windowText" lastClr="000000"/>
                  </a:solidFill>
                  <a:latin typeface="Cambria Math" panose="02040503050406030204" pitchFamily="18" charset="0"/>
                </a:rPr>
                <a:t>= F</a:t>
              </a:r>
              <a:r>
                <a:rPr lang="fr-CA" sz="1200" b="0" i="0" baseline="-25000">
                  <a:solidFill>
                    <a:sysClr val="windowText" lastClr="000000"/>
                  </a:solidFill>
                  <a:latin typeface="Cambria Math" panose="02040503050406030204" pitchFamily="18" charset="0"/>
                </a:rPr>
                <a:t>i</a:t>
              </a:r>
              <a:r>
                <a:rPr lang="fr-CA" sz="1200" b="0" i="0">
                  <a:solidFill>
                    <a:sysClr val="windowText" lastClr="000000"/>
                  </a:solidFill>
                  <a:latin typeface="Cambria Math" panose="02040503050406030204" pitchFamily="18" charset="0"/>
                </a:rPr>
                <a:t> F</a:t>
              </a:r>
              <a:r>
                <a:rPr lang="fr-CA" sz="1200" b="0" i="0" baseline="-25000">
                  <a:solidFill>
                    <a:sysClr val="windowText" lastClr="000000"/>
                  </a:solidFill>
                  <a:latin typeface="Cambria Math" panose="02040503050406030204" pitchFamily="18" charset="0"/>
                </a:rPr>
                <a:t>q</a:t>
              </a:r>
              <a:r>
                <a:rPr lang="fr-CA" sz="1200" b="0" i="0" baseline="-25000">
                  <a:solidFill>
                    <a:sysClr val="windowText" lastClr="000000"/>
                  </a:solidFill>
                  <a:latin typeface="Swis721 Lt BT" panose="020B0403020202020204" pitchFamily="34" charset="0"/>
                </a:rPr>
                <a:t>"</a:t>
              </a:r>
              <a:r>
                <a:rPr lang="fr-CA" sz="1200">
                  <a:solidFill>
                    <a:sysClr val="windowText" lastClr="000000"/>
                  </a:solidFill>
                </a:rPr>
                <a:t> </a:t>
              </a:r>
              <a:r>
                <a:rPr lang="fr-CA" sz="1200">
                  <a:solidFill>
                    <a:sysClr val="windowText" lastClr="000000"/>
                  </a:solidFill>
                  <a:latin typeface="Swis721 Lt BT" panose="020B0403020202020204" pitchFamily="34" charset="0"/>
                </a:rPr>
                <a:t>I</a:t>
              </a:r>
              <a:r>
                <a:rPr lang="fr-CA" sz="1200" baseline="-25000">
                  <a:solidFill>
                    <a:sysClr val="windowText" lastClr="000000"/>
                  </a:solidFill>
                  <a:latin typeface="Swis721 Lt BT" panose="020B0403020202020204" pitchFamily="34" charset="0"/>
                </a:rPr>
                <a:t>25,60</a:t>
              </a:r>
            </a:p>
          </xdr:txBody>
        </xdr:sp>
      </mc:Fallback>
    </mc:AlternateContent>
    <xdr:clientData/>
  </xdr:oneCellAnchor>
  <xdr:oneCellAnchor>
    <xdr:from>
      <xdr:col>4</xdr:col>
      <xdr:colOff>534639</xdr:colOff>
      <xdr:row>251</xdr:row>
      <xdr:rowOff>286581</xdr:rowOff>
    </xdr:from>
    <xdr:ext cx="1016275" cy="308114"/>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000-00001B000000}"/>
                </a:ext>
              </a:extLst>
            </xdr:cNvPr>
            <xdr:cNvSpPr txBox="1"/>
          </xdr:nvSpPr>
          <xdr:spPr>
            <a:xfrm>
              <a:off x="7859364" y="56455506"/>
              <a:ext cx="1016275" cy="30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sSub>
                    <m:sSubPr>
                      <m:ctrlPr>
                        <a:rPr lang="fr-CA" sz="1200" i="1">
                          <a:solidFill>
                            <a:srgbClr val="143D8D"/>
                          </a:solidFill>
                          <a:latin typeface="Cambria Math" panose="02040503050406030204" pitchFamily="18" charset="0"/>
                        </a:rPr>
                      </m:ctrlPr>
                    </m:sSubPr>
                    <m:e>
                      <m:r>
                        <m:rPr>
                          <m:nor/>
                        </m:rPr>
                        <a:rPr lang="fr-CA" sz="1200" b="0" i="0">
                          <a:solidFill>
                            <a:srgbClr val="143D8D"/>
                          </a:solidFill>
                          <a:latin typeface="Swis721 Lt BT" panose="020B0403020202020204" pitchFamily="34" charset="0"/>
                        </a:rPr>
                        <m:t>I</m:t>
                      </m:r>
                    </m:e>
                    <m:sub>
                      <m:r>
                        <m:rPr>
                          <m:nor/>
                        </m:rPr>
                        <a:rPr lang="fr-CA" sz="1200" b="0" i="0">
                          <a:solidFill>
                            <a:srgbClr val="143D8D"/>
                          </a:solidFill>
                          <a:latin typeface="Swis721 Lt BT" panose="020B0403020202020204" pitchFamily="34" charset="0"/>
                        </a:rPr>
                        <m:t>t</m:t>
                      </m:r>
                      <m:r>
                        <m:rPr>
                          <m:nor/>
                        </m:rPr>
                        <a:rPr lang="fr-CA" sz="1200" b="0" i="0" baseline="-25000">
                          <a:solidFill>
                            <a:srgbClr val="143D8D"/>
                          </a:solidFill>
                          <a:latin typeface="Swis721 Lt BT" panose="020B0403020202020204" pitchFamily="34" charset="0"/>
                        </a:rPr>
                        <m:t>c</m:t>
                      </m:r>
                    </m:sub>
                  </m:sSub>
                  <m:r>
                    <m:rPr>
                      <m:nor/>
                    </m:rPr>
                    <a:rPr lang="fr-CA" sz="1200" b="0" i="0">
                      <a:solidFill>
                        <a:srgbClr val="143D8D"/>
                      </a:solidFill>
                      <a:latin typeface="Cambria Math" panose="02040503050406030204" pitchFamily="18" charset="0"/>
                    </a:rPr>
                    <m:t>= </m:t>
                  </m:r>
                  <m:r>
                    <m:rPr>
                      <m:nor/>
                    </m:rPr>
                    <a:rPr lang="fr-CA" sz="1200" b="0" i="0">
                      <a:solidFill>
                        <a:srgbClr val="143D8D"/>
                      </a:solidFill>
                      <a:latin typeface="Swis721 Lt BT" panose="020B0403020202020204" pitchFamily="34" charset="0"/>
                    </a:rPr>
                    <m:t>F</m:t>
                  </m:r>
                  <m:r>
                    <m:rPr>
                      <m:nor/>
                    </m:rPr>
                    <a:rPr lang="fr-CA" sz="1200" b="0" i="0" baseline="-25000">
                      <a:solidFill>
                        <a:srgbClr val="143D8D"/>
                      </a:solidFill>
                      <a:latin typeface="Swis721 Lt BT" panose="020B0403020202020204" pitchFamily="34" charset="0"/>
                    </a:rPr>
                    <m:t>i</m:t>
                  </m:r>
                  <m:r>
                    <m:rPr>
                      <m:nor/>
                    </m:rPr>
                    <a:rPr lang="fr-CA" sz="1200" b="0" i="0">
                      <a:solidFill>
                        <a:srgbClr val="143D8D"/>
                      </a:solidFill>
                      <a:latin typeface="Cambria Math" panose="02040503050406030204" pitchFamily="18" charset="0"/>
                    </a:rPr>
                    <m:t> </m:t>
                  </m:r>
                  <m:r>
                    <m:rPr>
                      <m:nor/>
                    </m:rPr>
                    <a:rPr lang="fr-CA" sz="1200" b="0" i="0">
                      <a:solidFill>
                        <a:srgbClr val="143D8D"/>
                      </a:solidFill>
                      <a:latin typeface="Swis721 Lt BT" panose="020B0403020202020204" pitchFamily="34" charset="0"/>
                    </a:rPr>
                    <m:t>F</m:t>
                  </m:r>
                  <m:r>
                    <m:rPr>
                      <m:nor/>
                    </m:rPr>
                    <a:rPr lang="fr-CA" sz="1200" b="0" i="0" baseline="-25000">
                      <a:solidFill>
                        <a:srgbClr val="143D8D"/>
                      </a:solidFill>
                      <a:latin typeface="Swis721 Lt BT" panose="020B0403020202020204" pitchFamily="34" charset="0"/>
                    </a:rPr>
                    <m:t>q</m:t>
                  </m:r>
                </m:oMath>
              </a14:m>
              <a:r>
                <a:rPr lang="fr-CA" sz="1200">
                  <a:solidFill>
                    <a:srgbClr val="143D8D"/>
                  </a:solidFill>
                </a:rPr>
                <a:t> </a:t>
              </a:r>
              <a:r>
                <a:rPr lang="fr-CA" sz="1200">
                  <a:solidFill>
                    <a:srgbClr val="143D8D"/>
                  </a:solidFill>
                  <a:latin typeface="Swis721 Lt BT" panose="020B0403020202020204" pitchFamily="34" charset="0"/>
                </a:rPr>
                <a:t>I</a:t>
              </a:r>
              <a:r>
                <a:rPr lang="fr-CA" sz="1200" baseline="-25000">
                  <a:solidFill>
                    <a:srgbClr val="143D8D"/>
                  </a:solidFill>
                  <a:latin typeface="Swis721 Lt BT" panose="020B0403020202020204" pitchFamily="34" charset="0"/>
                </a:rPr>
                <a:t>25,60</a:t>
              </a:r>
            </a:p>
          </xdr:txBody>
        </xdr:sp>
      </mc:Choice>
      <mc:Fallback xmlns="">
        <xdr:sp macro="" textlink="">
          <xdr:nvSpPr>
            <xdr:cNvPr id="27" name="ZoneTexte 26">
              <a:extLst>
                <a:ext uri="{FF2B5EF4-FFF2-40B4-BE49-F238E27FC236}">
                  <a16:creationId xmlns:a16="http://schemas.microsoft.com/office/drawing/2014/main" id="{00000000-0008-0000-0000-00001B000000}"/>
                </a:ext>
              </a:extLst>
            </xdr:cNvPr>
            <xdr:cNvSpPr txBox="1"/>
          </xdr:nvSpPr>
          <xdr:spPr>
            <a:xfrm>
              <a:off x="7859364" y="56455506"/>
              <a:ext cx="1016275" cy="30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fr-CA" sz="1200" b="0" i="0">
                  <a:solidFill>
                    <a:srgbClr val="143D8D"/>
                  </a:solidFill>
                  <a:latin typeface="Swis721 Lt BT" panose="020B0403020202020204" pitchFamily="34" charset="0"/>
                </a:rPr>
                <a:t>"I</a:t>
              </a:r>
              <a:r>
                <a:rPr lang="fr-CA" sz="1200" b="0" i="0">
                  <a:solidFill>
                    <a:srgbClr val="143D8D"/>
                  </a:solidFill>
                  <a:latin typeface="Cambria Math" panose="02040503050406030204" pitchFamily="18" charset="0"/>
                </a:rPr>
                <a:t>" _"</a:t>
              </a:r>
              <a:r>
                <a:rPr lang="fr-CA" sz="1200" b="0" i="0">
                  <a:solidFill>
                    <a:srgbClr val="143D8D"/>
                  </a:solidFill>
                  <a:latin typeface="Swis721 Lt BT" panose="020B0403020202020204" pitchFamily="34" charset="0"/>
                </a:rPr>
                <a:t>t</a:t>
              </a:r>
              <a:r>
                <a:rPr lang="fr-CA" sz="1200" b="0" i="0" baseline="-25000">
                  <a:solidFill>
                    <a:srgbClr val="143D8D"/>
                  </a:solidFill>
                  <a:latin typeface="Swis721 Lt BT" panose="020B0403020202020204" pitchFamily="34" charset="0"/>
                </a:rPr>
                <a:t>c</a:t>
              </a:r>
              <a:r>
                <a:rPr lang="fr-CA" sz="1200" b="0" i="0" baseline="-25000">
                  <a:solidFill>
                    <a:srgbClr val="143D8D"/>
                  </a:solidFill>
                  <a:latin typeface="Cambria Math" panose="02040503050406030204" pitchFamily="18" charset="0"/>
                </a:rPr>
                <a:t>"  "</a:t>
              </a:r>
              <a:r>
                <a:rPr lang="fr-CA" sz="1200" b="0" i="0">
                  <a:solidFill>
                    <a:srgbClr val="143D8D"/>
                  </a:solidFill>
                  <a:latin typeface="Cambria Math" panose="02040503050406030204" pitchFamily="18" charset="0"/>
                </a:rPr>
                <a:t>= F</a:t>
              </a:r>
              <a:r>
                <a:rPr lang="fr-CA" sz="1200" b="0" i="0" baseline="-25000">
                  <a:solidFill>
                    <a:srgbClr val="143D8D"/>
                  </a:solidFill>
                  <a:latin typeface="Cambria Math" panose="02040503050406030204" pitchFamily="18" charset="0"/>
                </a:rPr>
                <a:t>i</a:t>
              </a:r>
              <a:r>
                <a:rPr lang="fr-CA" sz="1200" b="0" i="0">
                  <a:solidFill>
                    <a:srgbClr val="143D8D"/>
                  </a:solidFill>
                  <a:latin typeface="Cambria Math" panose="02040503050406030204" pitchFamily="18" charset="0"/>
                </a:rPr>
                <a:t> F</a:t>
              </a:r>
              <a:r>
                <a:rPr lang="fr-CA" sz="1200" b="0" i="0" baseline="-25000">
                  <a:solidFill>
                    <a:srgbClr val="143D8D"/>
                  </a:solidFill>
                  <a:latin typeface="Cambria Math" panose="02040503050406030204" pitchFamily="18" charset="0"/>
                </a:rPr>
                <a:t>q</a:t>
              </a:r>
              <a:r>
                <a:rPr lang="en-CA" sz="1200" b="0" i="0" baseline="-25000">
                  <a:solidFill>
                    <a:srgbClr val="143D8D"/>
                  </a:solidFill>
                  <a:latin typeface="Swis721 Lt BT" panose="020B0403020202020204" pitchFamily="34" charset="0"/>
                </a:rPr>
                <a:t>"</a:t>
              </a:r>
              <a:r>
                <a:rPr lang="fr-CA" sz="1200">
                  <a:solidFill>
                    <a:srgbClr val="143D8D"/>
                  </a:solidFill>
                </a:rPr>
                <a:t> </a:t>
              </a:r>
              <a:r>
                <a:rPr lang="fr-CA" sz="1200">
                  <a:solidFill>
                    <a:srgbClr val="143D8D"/>
                  </a:solidFill>
                  <a:latin typeface="Swis721 Lt BT" panose="020B0403020202020204" pitchFamily="34" charset="0"/>
                </a:rPr>
                <a:t>I</a:t>
              </a:r>
              <a:r>
                <a:rPr lang="fr-CA" sz="1200" baseline="-25000">
                  <a:solidFill>
                    <a:srgbClr val="143D8D"/>
                  </a:solidFill>
                  <a:latin typeface="Swis721 Lt BT" panose="020B0403020202020204" pitchFamily="34" charset="0"/>
                </a:rPr>
                <a:t>25,60</a:t>
              </a:r>
            </a:p>
          </xdr:txBody>
        </xdr:sp>
      </mc:Fallback>
    </mc:AlternateContent>
    <xdr:clientData/>
  </xdr:oneCellAnchor>
  <xdr:oneCellAnchor>
    <xdr:from>
      <xdr:col>5</xdr:col>
      <xdr:colOff>104775</xdr:colOff>
      <xdr:row>208</xdr:row>
      <xdr:rowOff>56037</xdr:rowOff>
    </xdr:from>
    <xdr:ext cx="1809750" cy="372588"/>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9467850" y="47557212"/>
              <a:ext cx="1809750"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f>
                      <m:fPr>
                        <m:ctrlPr>
                          <a:rPr lang="fr-CA" sz="1200" i="1">
                            <a:solidFill>
                              <a:srgbClr val="143D8D"/>
                            </a:solidFill>
                            <a:latin typeface="Cambria Math" panose="02040503050406030204" pitchFamily="18" charset="0"/>
                            <a:ea typeface="Cambria Math" panose="02040503050406030204" pitchFamily="18" charset="0"/>
                          </a:rPr>
                        </m:ctrlPr>
                      </m:fPr>
                      <m:num>
                        <m:r>
                          <m:rPr>
                            <m:sty m:val="p"/>
                          </m:rPr>
                          <a:rPr lang="fr-CA" sz="1200" b="0" i="0">
                            <a:solidFill>
                              <a:srgbClr val="143D8D"/>
                            </a:solidFill>
                            <a:latin typeface="Cambria Math" panose="02040503050406030204" pitchFamily="18" charset="0"/>
                            <a:ea typeface="Cambria Math" panose="02040503050406030204" pitchFamily="18" charset="0"/>
                          </a:rPr>
                          <m:t>a</m:t>
                        </m:r>
                      </m:num>
                      <m:den>
                        <m:r>
                          <a:rPr lang="fr-CA" sz="1200" b="0" i="0">
                            <a:solidFill>
                              <a:srgbClr val="143D8D"/>
                            </a:solidFill>
                            <a:latin typeface="Cambria Math" panose="02040503050406030204" pitchFamily="18" charset="0"/>
                            <a:ea typeface="Cambria Math" panose="02040503050406030204" pitchFamily="18" charset="0"/>
                          </a:rPr>
                          <m:t>(</m:t>
                        </m:r>
                        <m:sSup>
                          <m:sSupPr>
                            <m:ctrlPr>
                              <a:rPr lang="fr-CA" sz="1200" i="1">
                                <a:solidFill>
                                  <a:srgbClr val="143D8D"/>
                                </a:solidFill>
                                <a:latin typeface="Cambria Math" panose="02040503050406030204" pitchFamily="18" charset="0"/>
                                <a:ea typeface="Cambria Math" panose="02040503050406030204" pitchFamily="18" charset="0"/>
                              </a:rPr>
                            </m:ctrlPr>
                          </m:sSupPr>
                          <m:e>
                            <m:r>
                              <m:rPr>
                                <m:sty m:val="p"/>
                              </m:rPr>
                              <a:rPr lang="fr-CA" sz="1200" b="0" i="0">
                                <a:solidFill>
                                  <a:srgbClr val="143D8D"/>
                                </a:solidFill>
                                <a:latin typeface="Cambria Math" panose="02040503050406030204" pitchFamily="18" charset="0"/>
                                <a:ea typeface="Cambria Math" panose="02040503050406030204" pitchFamily="18" charset="0"/>
                              </a:rPr>
                              <m:t>t</m:t>
                            </m:r>
                            <m:r>
                              <a:rPr lang="fr-CA" sz="1200" b="0" i="0">
                                <a:solidFill>
                                  <a:srgbClr val="143D8D"/>
                                </a:solidFill>
                                <a:latin typeface="Cambria Math" panose="02040503050406030204" pitchFamily="18" charset="0"/>
                                <a:ea typeface="Cambria Math" panose="02040503050406030204" pitchFamily="18" charset="0"/>
                              </a:rPr>
                              <m:t>+</m:t>
                            </m:r>
                            <m:r>
                              <m:rPr>
                                <m:sty m:val="p"/>
                              </m:rPr>
                              <a:rPr lang="fr-CA" sz="1200" b="0" i="0">
                                <a:solidFill>
                                  <a:srgbClr val="143D8D"/>
                                </a:solidFill>
                                <a:latin typeface="Cambria Math" panose="02040503050406030204" pitchFamily="18" charset="0"/>
                                <a:ea typeface="Cambria Math" panose="02040503050406030204" pitchFamily="18" charset="0"/>
                              </a:rPr>
                              <m:t>b</m:t>
                            </m:r>
                            <m:r>
                              <a:rPr lang="fr-CA" sz="1200" b="0" i="0">
                                <a:solidFill>
                                  <a:srgbClr val="143D8D"/>
                                </a:solidFill>
                                <a:latin typeface="Cambria Math" panose="02040503050406030204" pitchFamily="18" charset="0"/>
                                <a:ea typeface="Cambria Math" panose="02040503050406030204" pitchFamily="18" charset="0"/>
                              </a:rPr>
                              <m:t>)</m:t>
                            </m:r>
                          </m:e>
                          <m:sup>
                            <m:r>
                              <m:rPr>
                                <m:sty m:val="p"/>
                              </m:rPr>
                              <a:rPr lang="fr-CA" sz="1200" b="0" i="0">
                                <a:solidFill>
                                  <a:srgbClr val="143D8D"/>
                                </a:solidFill>
                                <a:latin typeface="Cambria Math" panose="02040503050406030204" pitchFamily="18" charset="0"/>
                                <a:ea typeface="Cambria Math" panose="02040503050406030204" pitchFamily="18" charset="0"/>
                              </a:rPr>
                              <m:t>c</m:t>
                            </m:r>
                          </m:sup>
                        </m:sSup>
                      </m:den>
                    </m:f>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2" name="ZoneTexte 1">
              <a:extLst>
                <a:ext uri="{FF2B5EF4-FFF2-40B4-BE49-F238E27FC236}">
                  <a16:creationId xmlns:a16="http://schemas.microsoft.com/office/drawing/2014/main" id="{A4F18AC4-155E-4491-A386-2C8D6CD4E691}"/>
                </a:ext>
              </a:extLst>
            </xdr:cNvPr>
            <xdr:cNvSpPr txBox="1"/>
          </xdr:nvSpPr>
          <xdr:spPr>
            <a:xfrm>
              <a:off x="9467850" y="47557212"/>
              <a:ext cx="1809750"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 </a:t>
              </a:r>
              <a:r>
                <a:rPr lang="fr-CA" sz="1200" b="0" i="0">
                  <a:solidFill>
                    <a:srgbClr val="143D8D"/>
                  </a:solidFill>
                  <a:latin typeface="Cambria Math" panose="02040503050406030204" pitchFamily="18" charset="0"/>
                  <a:ea typeface="Cambria Math" panose="02040503050406030204" pitchFamily="18" charset="0"/>
                </a:rPr>
                <a:t> a/((〖t+b)〗^c )</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1162050</xdr:colOff>
      <xdr:row>208</xdr:row>
      <xdr:rowOff>84613</xdr:rowOff>
    </xdr:from>
    <xdr:ext cx="1619249" cy="401162"/>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4410075" y="47585788"/>
              <a:ext cx="1619249" cy="401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f>
                      <m:fPr>
                        <m:ctrlPr>
                          <a:rPr lang="fr-CA" sz="1200" b="0" i="1">
                            <a:solidFill>
                              <a:srgbClr val="143D8D"/>
                            </a:solidFill>
                            <a:latin typeface="Cambria Math" panose="02040503050406030204" pitchFamily="18" charset="0"/>
                            <a:ea typeface="Cambria Math" panose="02040503050406030204" pitchFamily="18" charset="0"/>
                          </a:rPr>
                        </m:ctrlPr>
                      </m:fPr>
                      <m:num>
                        <m:r>
                          <m:rPr>
                            <m:sty m:val="p"/>
                          </m:rPr>
                          <a:rPr lang="fr-CA" sz="1200" b="0" i="0">
                            <a:solidFill>
                              <a:srgbClr val="143D8D"/>
                            </a:solidFill>
                            <a:latin typeface="Cambria Math" panose="02040503050406030204" pitchFamily="18" charset="0"/>
                            <a:ea typeface="Cambria Math" panose="02040503050406030204" pitchFamily="18" charset="0"/>
                          </a:rPr>
                          <m:t>a</m:t>
                        </m:r>
                      </m:num>
                      <m:den>
                        <m:sSup>
                          <m:sSupPr>
                            <m:ctrlPr>
                              <a:rPr lang="fr-CA" sz="1200" b="0" i="1">
                                <a:solidFill>
                                  <a:srgbClr val="143D8D"/>
                                </a:solidFill>
                                <a:latin typeface="Cambria Math" panose="02040503050406030204" pitchFamily="18" charset="0"/>
                                <a:ea typeface="Cambria Math" panose="02040503050406030204" pitchFamily="18" charset="0"/>
                              </a:rPr>
                            </m:ctrlPr>
                          </m:sSupPr>
                          <m:e>
                            <m:r>
                              <m:rPr>
                                <m:sty m:val="p"/>
                              </m:rPr>
                              <a:rPr lang="fr-CA" sz="1200" b="0" i="0">
                                <a:solidFill>
                                  <a:srgbClr val="143D8D"/>
                                </a:solidFill>
                                <a:latin typeface="Cambria Math" panose="02040503050406030204" pitchFamily="18" charset="0"/>
                                <a:ea typeface="Cambria Math" panose="02040503050406030204" pitchFamily="18" charset="0"/>
                              </a:rPr>
                              <m:t>t</m:t>
                            </m:r>
                          </m:e>
                          <m:sup>
                            <m:r>
                              <m:rPr>
                                <m:sty m:val="p"/>
                              </m:rPr>
                              <a:rPr lang="fr-CA" sz="1200" b="0" i="0">
                                <a:solidFill>
                                  <a:srgbClr val="143D8D"/>
                                </a:solidFill>
                                <a:latin typeface="Cambria Math" panose="02040503050406030204" pitchFamily="18" charset="0"/>
                                <a:ea typeface="Cambria Math" panose="02040503050406030204" pitchFamily="18" charset="0"/>
                              </a:rPr>
                              <m:t>c</m:t>
                            </m:r>
                          </m:sup>
                        </m:sSup>
                      </m:den>
                    </m:f>
                    <m:r>
                      <a:rPr lang="fr-CA" sz="1200" b="0" i="0">
                        <a:solidFill>
                          <a:srgbClr val="143D8D"/>
                        </a:solidFill>
                        <a:latin typeface="Cambria Math" panose="02040503050406030204" pitchFamily="18" charset="0"/>
                        <a:ea typeface="Cambria Math" panose="02040503050406030204" pitchFamily="18" charset="0"/>
                      </a:rPr>
                      <m:t>  </m:t>
                    </m:r>
                  </m:oMath>
                </m:oMathPara>
              </a14:m>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8" name="ZoneTexte 7">
              <a:extLst>
                <a:ext uri="{FF2B5EF4-FFF2-40B4-BE49-F238E27FC236}">
                  <a16:creationId xmlns:a16="http://schemas.microsoft.com/office/drawing/2014/main" id="{52662571-B27F-49D9-B06E-E61EB619B736}"/>
                </a:ext>
              </a:extLst>
            </xdr:cNvPr>
            <xdr:cNvSpPr txBox="1"/>
          </xdr:nvSpPr>
          <xdr:spPr>
            <a:xfrm>
              <a:off x="4410075" y="47585788"/>
              <a:ext cx="1619249" cy="401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  a/t^c    </a:t>
              </a:r>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238125</xdr:colOff>
      <xdr:row>251</xdr:row>
      <xdr:rowOff>85725</xdr:rowOff>
    </xdr:from>
    <xdr:ext cx="1619249" cy="236338"/>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3486150" y="56254650"/>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r>
                          <m:rPr>
                            <m:nor/>
                          </m:rPr>
                          <a:rPr lang="fr-CA" sz="1200" b="0" i="0" baseline="-25000">
                            <a:solidFill>
                              <a:srgbClr val="143D8D"/>
                            </a:solidFill>
                            <a:effectLst/>
                            <a:latin typeface="Cambria Math" panose="02040503050406030204" pitchFamily="18" charset="0"/>
                            <a:ea typeface="Cambria Math" panose="02040503050406030204" pitchFamily="18" charset="0"/>
                            <a:cs typeface="+mn-cs"/>
                          </a:rPr>
                          <m:t>c</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lang="fr-CA" sz="1200" b="0" i="0">
                        <a:solidFill>
                          <a:srgbClr val="143D8D"/>
                        </a:solidFill>
                        <a:latin typeface="Cambria Math" panose="02040503050406030204" pitchFamily="18" charset="0"/>
                        <a:ea typeface="Cambria Math" panose="02040503050406030204" pitchFamily="18" charset="0"/>
                      </a:rPr>
                      <m:t>a</m:t>
                    </m:r>
                    <m:sSup>
                      <m:sSup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sSupPr>
                      <m:e>
                        <m: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𝑡</m:t>
                        </m:r>
                      </m:e>
                      <m:sup>
                        <m: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𝑏</m:t>
                        </m:r>
                      </m:sup>
                    </m:sSup>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1" name="ZoneTexte 10">
              <a:extLst>
                <a:ext uri="{FF2B5EF4-FFF2-40B4-BE49-F238E27FC236}">
                  <a16:creationId xmlns:a16="http://schemas.microsoft.com/office/drawing/2014/main" id="{029A8E72-5AEB-43B5-A0F0-23417BF97A07}"/>
                </a:ext>
              </a:extLst>
            </xdr:cNvPr>
            <xdr:cNvSpPr txBox="1"/>
          </xdr:nvSpPr>
          <xdr:spPr>
            <a:xfrm>
              <a:off x="3486150" y="56254650"/>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c"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 𝑡^𝑏</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228600</xdr:colOff>
      <xdr:row>252</xdr:row>
      <xdr:rowOff>19050</xdr:rowOff>
    </xdr:from>
    <xdr:ext cx="1619249" cy="401162"/>
    <mc:AlternateContent xmlns:mc="http://schemas.openxmlformats.org/markup-compatibility/2006" xmlns:a14="http://schemas.microsoft.com/office/drawing/2010/main">
      <mc:Choice Requires="a14">
        <xdr:sp macro="" textlink="">
          <xdr:nvSpPr>
            <xdr:cNvPr id="12" name="ZoneTexte 11">
              <a:extLst>
                <a:ext uri="{FF2B5EF4-FFF2-40B4-BE49-F238E27FC236}">
                  <a16:creationId xmlns:a16="http://schemas.microsoft.com/office/drawing/2014/main" id="{00000000-0008-0000-0000-00000C000000}"/>
                </a:ext>
              </a:extLst>
            </xdr:cNvPr>
            <xdr:cNvSpPr txBox="1"/>
          </xdr:nvSpPr>
          <xdr:spPr>
            <a:xfrm>
              <a:off x="3476625" y="56559450"/>
              <a:ext cx="1619249" cy="401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r>
                          <m:rPr>
                            <m:nor/>
                          </m:rPr>
                          <a:rPr lang="fr-CA" sz="1200" b="0" i="0" baseline="-25000">
                            <a:solidFill>
                              <a:srgbClr val="143D8D"/>
                            </a:solidFill>
                            <a:effectLst/>
                            <a:latin typeface="Cambria Math" panose="02040503050406030204" pitchFamily="18" charset="0"/>
                            <a:ea typeface="Cambria Math" panose="02040503050406030204" pitchFamily="18" charset="0"/>
                            <a:cs typeface="+mn-cs"/>
                          </a:rPr>
                          <m:t>c</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f>
                      <m:fPr>
                        <m:ctrlPr>
                          <a:rPr lang="fr-CA" sz="1200" b="0" i="1">
                            <a:solidFill>
                              <a:srgbClr val="143D8D"/>
                            </a:solidFill>
                            <a:latin typeface="Cambria Math" panose="02040503050406030204" pitchFamily="18" charset="0"/>
                            <a:ea typeface="Cambria Math" panose="02040503050406030204" pitchFamily="18" charset="0"/>
                          </a:rPr>
                        </m:ctrlPr>
                      </m:fPr>
                      <m:num>
                        <m:r>
                          <a:rPr lang="fr-CA" sz="1200" b="0" i="1">
                            <a:solidFill>
                              <a:srgbClr val="143D8D"/>
                            </a:solidFill>
                            <a:latin typeface="Cambria Math" panose="02040503050406030204" pitchFamily="18" charset="0"/>
                            <a:ea typeface="Cambria Math" panose="02040503050406030204" pitchFamily="18" charset="0"/>
                          </a:rPr>
                          <m:t>𝑎</m:t>
                        </m:r>
                      </m:num>
                      <m:den>
                        <m:sSup>
                          <m:sSupPr>
                            <m:ctrlPr>
                              <a:rPr lang="fr-CA" sz="1200" b="0" i="1">
                                <a:solidFill>
                                  <a:srgbClr val="143D8D"/>
                                </a:solidFill>
                                <a:latin typeface="Cambria Math" panose="02040503050406030204" pitchFamily="18" charset="0"/>
                                <a:ea typeface="Cambria Math" panose="02040503050406030204" pitchFamily="18" charset="0"/>
                              </a:rPr>
                            </m:ctrlPr>
                          </m:sSupPr>
                          <m:e>
                            <m:r>
                              <a:rPr lang="fr-CA" sz="1200" b="0" i="1">
                                <a:solidFill>
                                  <a:srgbClr val="143D8D"/>
                                </a:solidFill>
                                <a:latin typeface="Cambria Math" panose="02040503050406030204" pitchFamily="18" charset="0"/>
                                <a:ea typeface="Cambria Math" panose="02040503050406030204" pitchFamily="18" charset="0"/>
                              </a:rPr>
                              <m:t>𝑡</m:t>
                            </m:r>
                          </m:e>
                          <m:sup>
                            <m:r>
                              <a:rPr lang="fr-CA" sz="1200" b="0" i="1">
                                <a:solidFill>
                                  <a:srgbClr val="143D8D"/>
                                </a:solidFill>
                                <a:latin typeface="Cambria Math" panose="02040503050406030204" pitchFamily="18" charset="0"/>
                                <a:ea typeface="Cambria Math" panose="02040503050406030204" pitchFamily="18" charset="0"/>
                              </a:rPr>
                              <m:t>𝑐</m:t>
                            </m:r>
                          </m:sup>
                        </m:sSup>
                      </m:den>
                    </m:f>
                  </m:oMath>
                </m:oMathPara>
              </a14:m>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2" name="ZoneTexte 11">
              <a:extLst>
                <a:ext uri="{FF2B5EF4-FFF2-40B4-BE49-F238E27FC236}">
                  <a16:creationId xmlns:a16="http://schemas.microsoft.com/office/drawing/2014/main" id="{F21220C6-A514-462A-B994-712B70F56A4B}"/>
                </a:ext>
              </a:extLst>
            </xdr:cNvPr>
            <xdr:cNvSpPr txBox="1"/>
          </xdr:nvSpPr>
          <xdr:spPr>
            <a:xfrm>
              <a:off x="3476625" y="56559450"/>
              <a:ext cx="1619249" cy="401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c"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  𝑎/𝑡^𝑐 </a:t>
              </a:r>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161925</xdr:colOff>
      <xdr:row>251</xdr:row>
      <xdr:rowOff>85725</xdr:rowOff>
    </xdr:from>
    <xdr:ext cx="1619249" cy="23633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000-00000D000000}"/>
                </a:ext>
              </a:extLst>
            </xdr:cNvPr>
            <xdr:cNvSpPr txBox="1"/>
          </xdr:nvSpPr>
          <xdr:spPr>
            <a:xfrm>
              <a:off x="5457825" y="56254650"/>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r>
                          <m:rPr>
                            <m:nor/>
                          </m:rPr>
                          <a:rPr lang="fr-CA" sz="1200" b="0" i="0" baseline="-25000">
                            <a:solidFill>
                              <a:srgbClr val="143D8D"/>
                            </a:solidFill>
                            <a:effectLst/>
                            <a:latin typeface="Cambria Math" panose="02040503050406030204" pitchFamily="18" charset="0"/>
                            <a:ea typeface="Cambria Math" panose="02040503050406030204" pitchFamily="18" charset="0"/>
                            <a:cs typeface="+mn-cs"/>
                          </a:rPr>
                          <m:t>c</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a</m:t>
                    </m:r>
                    <m: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 </m:t>
                    </m:r>
                    <m:d>
                      <m:d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dPr>
                      <m:e>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c</m:t>
                        </m:r>
                      </m:e>
                    </m:d>
                    <m:r>
                      <m:rPr>
                        <m:nor/>
                      </m:rP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m:t>b</m:t>
                    </m:r>
                  </m:oMath>
                </m:oMathPara>
              </a14:m>
              <a:endParaRPr lang="fr-CA" sz="1200" i="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3" name="ZoneTexte 12">
              <a:extLst>
                <a:ext uri="{FF2B5EF4-FFF2-40B4-BE49-F238E27FC236}">
                  <a16:creationId xmlns:a16="http://schemas.microsoft.com/office/drawing/2014/main" id="{DEEB4F49-797D-40E4-95B7-B8EDC9C558BC}"/>
                </a:ext>
              </a:extLst>
            </xdr:cNvPr>
            <xdr:cNvSpPr txBox="1"/>
          </xdr:nvSpPr>
          <xdr:spPr>
            <a:xfrm>
              <a:off x="5457825" y="56254650"/>
              <a:ext cx="16192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c"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a" ("t+c" )</a:t>
              </a:r>
              <a: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"b</a:t>
              </a:r>
              <a:r>
                <a:rPr kumimoji="0" lang="en-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a:t>
              </a:r>
              <a:endParaRPr lang="fr-CA" sz="1200" i="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3</xdr:col>
      <xdr:colOff>200025</xdr:colOff>
      <xdr:row>251</xdr:row>
      <xdr:rowOff>428625</xdr:rowOff>
    </xdr:from>
    <xdr:ext cx="1619249" cy="372588"/>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000-000011000000}"/>
                </a:ext>
              </a:extLst>
            </xdr:cNvPr>
            <xdr:cNvSpPr txBox="1"/>
          </xdr:nvSpPr>
          <xdr:spPr>
            <a:xfrm>
              <a:off x="5495925" y="56597550"/>
              <a:ext cx="1619249"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r>
                          <m:rPr>
                            <m:nor/>
                          </m:rPr>
                          <a:rPr lang="fr-CA" sz="1200" b="0" i="0" baseline="-25000">
                            <a:solidFill>
                              <a:srgbClr val="143D8D"/>
                            </a:solidFill>
                            <a:effectLst/>
                            <a:latin typeface="Cambria Math" panose="02040503050406030204" pitchFamily="18" charset="0"/>
                            <a:ea typeface="Cambria Math" panose="02040503050406030204" pitchFamily="18" charset="0"/>
                            <a:cs typeface="+mn-cs"/>
                          </a:rPr>
                          <m:t>c</m:t>
                        </m:r>
                      </m:sub>
                    </m:sSub>
                    <m:r>
                      <m:rPr>
                        <m:nor/>
                      </m:rPr>
                      <a:rPr lang="fr-CA" sz="1200" i="0">
                        <a:solidFill>
                          <a:srgbClr val="143D8D"/>
                        </a:solidFill>
                        <a:latin typeface="Cambria Math" panose="02040503050406030204" pitchFamily="18" charset="0"/>
                        <a:ea typeface="Cambria Math" panose="02040503050406030204" pitchFamily="18" charset="0"/>
                      </a:rPr>
                      <m:t>=</m:t>
                    </m:r>
                    <m:f>
                      <m:fPr>
                        <m:ctrlPr>
                          <a:rPr lang="fr-CA" sz="1200" i="1">
                            <a:solidFill>
                              <a:srgbClr val="143D8D"/>
                            </a:solidFill>
                            <a:latin typeface="Cambria Math" panose="02040503050406030204" pitchFamily="18" charset="0"/>
                            <a:ea typeface="Cambria Math" panose="02040503050406030204" pitchFamily="18" charset="0"/>
                          </a:rPr>
                        </m:ctrlPr>
                      </m:fPr>
                      <m:num>
                        <m:r>
                          <a:rPr lang="fr-CA" sz="1200" b="0" i="1">
                            <a:solidFill>
                              <a:srgbClr val="143D8D"/>
                            </a:solidFill>
                            <a:latin typeface="Cambria Math" panose="02040503050406030204" pitchFamily="18" charset="0"/>
                            <a:ea typeface="Cambria Math" panose="02040503050406030204" pitchFamily="18" charset="0"/>
                          </a:rPr>
                          <m:t>𝑎</m:t>
                        </m:r>
                      </m:num>
                      <m:den>
                        <m:r>
                          <a:rPr lang="fr-CA" sz="1200" b="0" i="1">
                            <a:solidFill>
                              <a:srgbClr val="143D8D"/>
                            </a:solidFill>
                            <a:latin typeface="Cambria Math" panose="02040503050406030204" pitchFamily="18" charset="0"/>
                            <a:ea typeface="Cambria Math" panose="02040503050406030204" pitchFamily="18" charset="0"/>
                          </a:rPr>
                          <m:t>(</m:t>
                        </m:r>
                        <m:sSup>
                          <m:sSupPr>
                            <m:ctrlPr>
                              <a:rPr lang="fr-CA" sz="1200" i="1">
                                <a:solidFill>
                                  <a:srgbClr val="143D8D"/>
                                </a:solidFill>
                                <a:latin typeface="Cambria Math" panose="02040503050406030204" pitchFamily="18" charset="0"/>
                                <a:ea typeface="Cambria Math" panose="02040503050406030204" pitchFamily="18" charset="0"/>
                              </a:rPr>
                            </m:ctrlPr>
                          </m:sSupPr>
                          <m:e>
                            <m:r>
                              <a:rPr lang="fr-CA" sz="1200" b="0" i="1">
                                <a:solidFill>
                                  <a:srgbClr val="143D8D"/>
                                </a:solidFill>
                                <a:latin typeface="Cambria Math" panose="02040503050406030204" pitchFamily="18" charset="0"/>
                                <a:ea typeface="Cambria Math" panose="02040503050406030204" pitchFamily="18" charset="0"/>
                              </a:rPr>
                              <m:t>𝑡</m:t>
                            </m:r>
                            <m:r>
                              <a:rPr lang="fr-CA" sz="1200" b="0" i="1">
                                <a:solidFill>
                                  <a:srgbClr val="143D8D"/>
                                </a:solidFill>
                                <a:latin typeface="Cambria Math" panose="02040503050406030204" pitchFamily="18" charset="0"/>
                                <a:ea typeface="Cambria Math" panose="02040503050406030204" pitchFamily="18" charset="0"/>
                              </a:rPr>
                              <m:t>+</m:t>
                            </m:r>
                            <m:r>
                              <a:rPr lang="fr-CA" sz="1200" b="0" i="1">
                                <a:solidFill>
                                  <a:srgbClr val="143D8D"/>
                                </a:solidFill>
                                <a:latin typeface="Cambria Math" panose="02040503050406030204" pitchFamily="18" charset="0"/>
                                <a:ea typeface="Cambria Math" panose="02040503050406030204" pitchFamily="18" charset="0"/>
                              </a:rPr>
                              <m:t>𝑏</m:t>
                            </m:r>
                            <m:r>
                              <a:rPr lang="fr-CA" sz="1200" b="0" i="1">
                                <a:solidFill>
                                  <a:srgbClr val="143D8D"/>
                                </a:solidFill>
                                <a:latin typeface="Cambria Math" panose="02040503050406030204" pitchFamily="18" charset="0"/>
                                <a:ea typeface="Cambria Math" panose="02040503050406030204" pitchFamily="18" charset="0"/>
                              </a:rPr>
                              <m:t>)</m:t>
                            </m:r>
                          </m:e>
                          <m:sup>
                            <m:r>
                              <a:rPr lang="fr-CA" sz="1200" b="0" i="1">
                                <a:solidFill>
                                  <a:srgbClr val="143D8D"/>
                                </a:solidFill>
                                <a:latin typeface="Cambria Math" panose="02040503050406030204" pitchFamily="18" charset="0"/>
                                <a:ea typeface="Cambria Math" panose="02040503050406030204" pitchFamily="18" charset="0"/>
                              </a:rPr>
                              <m:t>𝑐</m:t>
                            </m:r>
                          </m:sup>
                        </m:sSup>
                      </m:den>
                    </m:f>
                    <m:r>
                      <m:rPr>
                        <m:nor/>
                      </m:rPr>
                      <a:rPr lang="fr-CA" sz="1200" b="0" i="0">
                        <a:solidFill>
                          <a:srgbClr val="143D8D"/>
                        </a:solidFill>
                        <a:latin typeface="Cambria Math" panose="02040503050406030204" pitchFamily="18" charset="0"/>
                        <a:ea typeface="Cambria Math" panose="02040503050406030204" pitchFamily="18" charset="0"/>
                      </a:rPr>
                      <m:t> </m:t>
                    </m:r>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7" name="ZoneTexte 16">
              <a:extLst>
                <a:ext uri="{FF2B5EF4-FFF2-40B4-BE49-F238E27FC236}">
                  <a16:creationId xmlns:a16="http://schemas.microsoft.com/office/drawing/2014/main" id="{37A75FDC-7C9B-4560-BB59-04E78828C0E7}"/>
                </a:ext>
              </a:extLst>
            </xdr:cNvPr>
            <xdr:cNvSpPr txBox="1"/>
          </xdr:nvSpPr>
          <xdr:spPr>
            <a:xfrm>
              <a:off x="5495925" y="56597550"/>
              <a:ext cx="1619249"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c"  "</a:t>
              </a:r>
              <a:r>
                <a:rPr lang="fr-CA" sz="1200" i="0">
                  <a:solidFill>
                    <a:srgbClr val="143D8D"/>
                  </a:solidFill>
                  <a:latin typeface="Cambria Math" panose="02040503050406030204" pitchFamily="18" charset="0"/>
                  <a:ea typeface="Cambria Math" panose="02040503050406030204" pitchFamily="18" charset="0"/>
                </a:rPr>
                <a:t>=" </a:t>
              </a:r>
              <a:r>
                <a:rPr lang="fr-CA" sz="1200" b="0" i="0">
                  <a:solidFill>
                    <a:srgbClr val="143D8D"/>
                  </a:solidFill>
                  <a:latin typeface="Cambria Math" panose="02040503050406030204" pitchFamily="18" charset="0"/>
                  <a:ea typeface="Cambria Math" panose="02040503050406030204" pitchFamily="18" charset="0"/>
                </a:rPr>
                <a:t> 𝑎/((〖𝑡+𝑏)〗^𝑐 ) " </a:t>
              </a:r>
              <a:r>
                <a:rPr lang="en-CA" sz="1200" b="0" i="0">
                  <a:solidFill>
                    <a:srgbClr val="143D8D"/>
                  </a:solidFill>
                  <a:latin typeface="Cambria Math" panose="02040503050406030204" pitchFamily="18" charset="0"/>
                  <a:ea typeface="Cambria Math" panose="02040503050406030204" pitchFamily="18" charset="0"/>
                </a:rPr>
                <a:t>"</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1</xdr:col>
      <xdr:colOff>288551</xdr:colOff>
      <xdr:row>227</xdr:row>
      <xdr:rowOff>115793</xdr:rowOff>
    </xdr:from>
    <xdr:ext cx="5457824" cy="4653025"/>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288551" y="16128999"/>
          <a:ext cx="5457824" cy="4653025"/>
        </a:xfrm>
        <a:prstGeom prst="rect">
          <a:avLst/>
        </a:prstGeom>
      </xdr:spPr>
    </xdr:pic>
    <xdr:clientData/>
  </xdr:oneCellAnchor>
  <xdr:twoCellAnchor editAs="oneCell">
    <xdr:from>
      <xdr:col>1</xdr:col>
      <xdr:colOff>47625</xdr:colOff>
      <xdr:row>6</xdr:row>
      <xdr:rowOff>91440</xdr:rowOff>
    </xdr:from>
    <xdr:to>
      <xdr:col>6</xdr:col>
      <xdr:colOff>238125</xdr:colOff>
      <xdr:row>32</xdr:row>
      <xdr:rowOff>151664</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7625" y="1377315"/>
          <a:ext cx="6934200" cy="4270274"/>
        </a:xfrm>
        <a:prstGeom prst="rect">
          <a:avLst/>
        </a:prstGeom>
      </xdr:spPr>
    </xdr:pic>
    <xdr:clientData/>
  </xdr:twoCellAnchor>
  <xdr:twoCellAnchor editAs="oneCell">
    <xdr:from>
      <xdr:col>0</xdr:col>
      <xdr:colOff>0</xdr:colOff>
      <xdr:row>177</xdr:row>
      <xdr:rowOff>78440</xdr:rowOff>
    </xdr:from>
    <xdr:to>
      <xdr:col>5</xdr:col>
      <xdr:colOff>273843</xdr:colOff>
      <xdr:row>222</xdr:row>
      <xdr:rowOff>128094</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090646"/>
          <a:ext cx="6253862" cy="7109360"/>
        </a:xfrm>
        <a:prstGeom prst="rect">
          <a:avLst/>
        </a:prstGeom>
      </xdr:spPr>
    </xdr:pic>
    <xdr:clientData/>
  </xdr:twoCellAnchor>
  <xdr:oneCellAnchor>
    <xdr:from>
      <xdr:col>1</xdr:col>
      <xdr:colOff>819150</xdr:colOff>
      <xdr:row>80</xdr:row>
      <xdr:rowOff>0</xdr:rowOff>
    </xdr:from>
    <xdr:ext cx="790574" cy="236338"/>
    <mc:AlternateContent xmlns:mc="http://schemas.openxmlformats.org/markup-compatibility/2006" xmlns:a14="http://schemas.microsoft.com/office/drawing/2010/main">
      <mc:Choice Requires="a14">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819150" y="12439650"/>
              <a:ext cx="790574"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lang="fr-CA" sz="1200" b="0" i="0">
                        <a:solidFill>
                          <a:srgbClr val="143D8D"/>
                        </a:solidFill>
                        <a:latin typeface="Cambria Math" panose="02040503050406030204" pitchFamily="18" charset="0"/>
                        <a:ea typeface="Cambria Math" panose="02040503050406030204" pitchFamily="18" charset="0"/>
                      </a:rPr>
                      <m:t>a</m:t>
                    </m:r>
                    <m:sSup>
                      <m:sSup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sSupPr>
                      <m:e>
                        <m:r>
                          <m:rPr>
                            <m:sty m:val="p"/>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t</m:t>
                        </m:r>
                      </m:e>
                      <m:sup>
                        <m:r>
                          <m:rPr>
                            <m:sty m:val="p"/>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b</m:t>
                        </m:r>
                      </m:sup>
                    </m:sSup>
                    <m: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 </m:t>
                    </m:r>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5" name="ZoneTexte 4">
              <a:extLst>
                <a:ext uri="{FF2B5EF4-FFF2-40B4-BE49-F238E27FC236}">
                  <a16:creationId xmlns:a16="http://schemas.microsoft.com/office/drawing/2014/main" id="{018FE28C-BD80-4BE1-8C7C-CF71764173C5}"/>
                </a:ext>
              </a:extLst>
            </xdr:cNvPr>
            <xdr:cNvSpPr txBox="1"/>
          </xdr:nvSpPr>
          <xdr:spPr>
            <a:xfrm>
              <a:off x="819150" y="12439650"/>
              <a:ext cx="790574"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 t^b  </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885825</xdr:colOff>
      <xdr:row>81</xdr:row>
      <xdr:rowOff>9525</xdr:rowOff>
    </xdr:from>
    <xdr:ext cx="971549" cy="236338"/>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885825" y="12639675"/>
              <a:ext cx="9715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a</m:t>
                    </m:r>
                    <m: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 </m:t>
                    </m:r>
                    <m:d>
                      <m:dPr>
                        <m:ctrlPr>
                          <a:rPr kumimoji="0" lang="fr-CA" sz="1200" b="0" i="1"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ctrlPr>
                      </m:dPr>
                      <m:e>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m:t>
                        </m:r>
                        <m:r>
                          <m:rPr>
                            <m:nor/>
                          </m:rP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m:t>c</m:t>
                        </m:r>
                      </m:e>
                    </m:d>
                    <m:r>
                      <m:rPr>
                        <m:nor/>
                      </m:rP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m:t>b</m:t>
                    </m:r>
                  </m:oMath>
                </m:oMathPara>
              </a14:m>
              <a:endParaRPr lang="fr-CA" sz="1200" i="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7" name="ZoneTexte 6">
              <a:extLst>
                <a:ext uri="{FF2B5EF4-FFF2-40B4-BE49-F238E27FC236}">
                  <a16:creationId xmlns:a16="http://schemas.microsoft.com/office/drawing/2014/main" id="{8836F807-EA3B-4EA9-8758-632D27BBDC08}"/>
                </a:ext>
              </a:extLst>
            </xdr:cNvPr>
            <xdr:cNvSpPr txBox="1"/>
          </xdr:nvSpPr>
          <xdr:spPr>
            <a:xfrm>
              <a:off x="885825" y="12639675"/>
              <a:ext cx="971549" cy="236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a:t>
              </a:r>
              <a:r>
                <a:rPr kumimoji="0" lang="fr-CA" sz="1200" b="0" i="0" u="none" strike="noStrike" kern="0" cap="none" spc="0" normalizeH="0" baseline="0" noProof="0">
                  <a:ln>
                    <a:noFill/>
                  </a:ln>
                  <a:solidFill>
                    <a:srgbClr val="143D8D"/>
                  </a:solidFill>
                  <a:effectLst/>
                  <a:uLnTx/>
                  <a:uFillTx/>
                  <a:latin typeface="Cambria Math" panose="02040503050406030204" pitchFamily="18" charset="0"/>
                  <a:ea typeface="Cambria Math" panose="02040503050406030204" pitchFamily="18" charset="0"/>
                  <a:cs typeface="+mn-cs"/>
                </a:rPr>
                <a:t>a" ("t+c" )</a:t>
              </a:r>
              <a:r>
                <a:rPr kumimoji="0" lang="fr-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"b</a:t>
              </a:r>
              <a:r>
                <a:rPr kumimoji="0" lang="en-CA" sz="1200" b="0" i="0" u="none" strike="noStrike" kern="0" cap="none" spc="0" normalizeH="0" baseline="30000" noProof="0">
                  <a:ln>
                    <a:noFill/>
                  </a:ln>
                  <a:solidFill>
                    <a:srgbClr val="143D8D"/>
                  </a:solidFill>
                  <a:effectLst/>
                  <a:uLnTx/>
                  <a:uFillTx/>
                  <a:latin typeface="Cambria Math" panose="02040503050406030204" pitchFamily="18" charset="0"/>
                  <a:ea typeface="Cambria Math" panose="02040503050406030204" pitchFamily="18" charset="0"/>
                  <a:cs typeface="+mn-cs"/>
                </a:rPr>
                <a:t>"</a:t>
              </a:r>
              <a:endParaRPr lang="fr-CA" sz="1200" i="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876300</xdr:colOff>
      <xdr:row>168</xdr:row>
      <xdr:rowOff>95250</xdr:rowOff>
    </xdr:from>
    <xdr:ext cx="638175" cy="342900"/>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876300" y="22755225"/>
              <a:ext cx="63817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r>
                      <m:rPr>
                        <m:nor/>
                      </m:rPr>
                      <a:rPr lang="fr-CA" sz="1200" b="0" i="0">
                        <a:solidFill>
                          <a:srgbClr val="143D8D"/>
                        </a:solidFill>
                        <a:latin typeface="Cambria Math" panose="02040503050406030204" pitchFamily="18" charset="0"/>
                        <a:ea typeface="Cambria Math" panose="02040503050406030204" pitchFamily="18" charset="0"/>
                      </a:rPr>
                      <m:t> </m:t>
                    </m:r>
                    <m:f>
                      <m:fPr>
                        <m:ctrlPr>
                          <a:rPr lang="fr-CA" sz="1200" b="0" i="1">
                            <a:solidFill>
                              <a:srgbClr val="143D8D"/>
                            </a:solidFill>
                            <a:latin typeface="Cambria Math" panose="02040503050406030204" pitchFamily="18" charset="0"/>
                            <a:ea typeface="Cambria Math" panose="02040503050406030204" pitchFamily="18" charset="0"/>
                          </a:rPr>
                        </m:ctrlPr>
                      </m:fPr>
                      <m:num>
                        <m:r>
                          <m:rPr>
                            <m:sty m:val="p"/>
                          </m:rPr>
                          <a:rPr lang="fr-CA" sz="1200" b="0" i="0">
                            <a:solidFill>
                              <a:srgbClr val="143D8D"/>
                            </a:solidFill>
                            <a:latin typeface="Cambria Math" panose="02040503050406030204" pitchFamily="18" charset="0"/>
                            <a:ea typeface="Cambria Math" panose="02040503050406030204" pitchFamily="18" charset="0"/>
                          </a:rPr>
                          <m:t>a</m:t>
                        </m:r>
                      </m:num>
                      <m:den>
                        <m:sSup>
                          <m:sSupPr>
                            <m:ctrlPr>
                              <a:rPr lang="fr-CA" sz="1200" b="0" i="1">
                                <a:solidFill>
                                  <a:srgbClr val="143D8D"/>
                                </a:solidFill>
                                <a:latin typeface="Cambria Math" panose="02040503050406030204" pitchFamily="18" charset="0"/>
                                <a:ea typeface="Cambria Math" panose="02040503050406030204" pitchFamily="18" charset="0"/>
                              </a:rPr>
                            </m:ctrlPr>
                          </m:sSupPr>
                          <m:e>
                            <m:r>
                              <m:rPr>
                                <m:sty m:val="p"/>
                              </m:rPr>
                              <a:rPr lang="fr-CA" sz="1200" b="0" i="0">
                                <a:solidFill>
                                  <a:srgbClr val="143D8D"/>
                                </a:solidFill>
                                <a:latin typeface="Cambria Math" panose="02040503050406030204" pitchFamily="18" charset="0"/>
                                <a:ea typeface="Cambria Math" panose="02040503050406030204" pitchFamily="18" charset="0"/>
                              </a:rPr>
                              <m:t>t</m:t>
                            </m:r>
                          </m:e>
                          <m:sup>
                            <m:r>
                              <m:rPr>
                                <m:sty m:val="p"/>
                              </m:rPr>
                              <a:rPr lang="fr-CA" sz="1200" b="0" i="0">
                                <a:solidFill>
                                  <a:srgbClr val="143D8D"/>
                                </a:solidFill>
                                <a:latin typeface="Cambria Math" panose="02040503050406030204" pitchFamily="18" charset="0"/>
                                <a:ea typeface="Cambria Math" panose="02040503050406030204" pitchFamily="18" charset="0"/>
                              </a:rPr>
                              <m:t>c</m:t>
                            </m:r>
                          </m:sup>
                        </m:sSup>
                      </m:den>
                    </m:f>
                    <m:r>
                      <a:rPr lang="fr-CA" sz="1200" b="0" i="0">
                        <a:solidFill>
                          <a:srgbClr val="143D8D"/>
                        </a:solidFill>
                        <a:latin typeface="Cambria Math" panose="02040503050406030204" pitchFamily="18" charset="0"/>
                        <a:ea typeface="Cambria Math" panose="02040503050406030204" pitchFamily="18" charset="0"/>
                      </a:rPr>
                      <m:t>  </m:t>
                    </m:r>
                  </m:oMath>
                </m:oMathPara>
              </a14:m>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1" name="ZoneTexte 10">
              <a:extLst>
                <a:ext uri="{FF2B5EF4-FFF2-40B4-BE49-F238E27FC236}">
                  <a16:creationId xmlns:a16="http://schemas.microsoft.com/office/drawing/2014/main" id="{A2DA9F6E-1D32-4E98-BF54-57DAE5A5E873}"/>
                </a:ext>
              </a:extLst>
            </xdr:cNvPr>
            <xdr:cNvSpPr txBox="1"/>
          </xdr:nvSpPr>
          <xdr:spPr>
            <a:xfrm>
              <a:off x="876300" y="22755225"/>
              <a:ext cx="63817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a:t>
              </a:r>
              <a:r>
                <a:rPr lang="fr-CA" sz="1200" b="0" i="0">
                  <a:solidFill>
                    <a:srgbClr val="143D8D"/>
                  </a:solidFill>
                  <a:latin typeface="Cambria Math" panose="02040503050406030204" pitchFamily="18" charset="0"/>
                  <a:ea typeface="Cambria Math" panose="02040503050406030204" pitchFamily="18" charset="0"/>
                </a:rPr>
                <a:t> "  a/t^c    </a:t>
              </a:r>
              <a:endParaRPr lang="fr-CA" sz="1200" i="0" strike="noStrike"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942975</xdr:colOff>
      <xdr:row>169</xdr:row>
      <xdr:rowOff>142875</xdr:rowOff>
    </xdr:from>
    <xdr:ext cx="790575" cy="372588"/>
    <mc:AlternateContent xmlns:mc="http://schemas.openxmlformats.org/markup-compatibility/2006" xmlns:a14="http://schemas.microsoft.com/office/drawing/2010/main">
      <mc:Choice Requires="a14">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942975" y="23145750"/>
              <a:ext cx="790575"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fr-CA" sz="1200" i="1">
                            <a:solidFill>
                              <a:srgbClr val="143D8D"/>
                            </a:solidFill>
                            <a:latin typeface="Cambria Math" panose="02040503050406030204" pitchFamily="18" charset="0"/>
                            <a:ea typeface="Cambria Math" panose="02040503050406030204" pitchFamily="18" charset="0"/>
                          </a:rPr>
                        </m:ctrlPr>
                      </m:sSubPr>
                      <m:e>
                        <m:r>
                          <m:rPr>
                            <m:nor/>
                          </m:rPr>
                          <a:rPr lang="fr-CA" sz="1200" b="0" i="0">
                            <a:solidFill>
                              <a:srgbClr val="143D8D"/>
                            </a:solidFill>
                            <a:latin typeface="Cambria Math" panose="02040503050406030204" pitchFamily="18" charset="0"/>
                            <a:ea typeface="Cambria Math" panose="02040503050406030204" pitchFamily="18" charset="0"/>
                          </a:rPr>
                          <m:t>I</m:t>
                        </m:r>
                      </m:e>
                      <m:sub>
                        <m:r>
                          <m:rPr>
                            <m:nor/>
                          </m:rPr>
                          <a:rPr lang="fr-CA" sz="1200" b="0" i="0">
                            <a:solidFill>
                              <a:srgbClr val="143D8D"/>
                            </a:solidFill>
                            <a:effectLst/>
                            <a:latin typeface="Cambria Math" panose="02040503050406030204" pitchFamily="18" charset="0"/>
                            <a:ea typeface="Cambria Math" panose="02040503050406030204" pitchFamily="18" charset="0"/>
                            <a:cs typeface="+mn-cs"/>
                          </a:rPr>
                          <m:t>t</m:t>
                        </m:r>
                      </m:sub>
                    </m:sSub>
                    <m:r>
                      <m:rPr>
                        <m:nor/>
                      </m:rPr>
                      <a:rPr lang="fr-CA" sz="1200" i="0">
                        <a:solidFill>
                          <a:srgbClr val="143D8D"/>
                        </a:solidFill>
                        <a:latin typeface="Cambria Math" panose="02040503050406030204" pitchFamily="18" charset="0"/>
                        <a:ea typeface="Cambria Math" panose="02040503050406030204" pitchFamily="18" charset="0"/>
                      </a:rPr>
                      <m:t>=</m:t>
                    </m:r>
                    <m:f>
                      <m:fPr>
                        <m:ctrlPr>
                          <a:rPr lang="fr-CA" sz="1200" i="1">
                            <a:solidFill>
                              <a:srgbClr val="143D8D"/>
                            </a:solidFill>
                            <a:latin typeface="Cambria Math" panose="02040503050406030204" pitchFamily="18" charset="0"/>
                            <a:ea typeface="Cambria Math" panose="02040503050406030204" pitchFamily="18" charset="0"/>
                          </a:rPr>
                        </m:ctrlPr>
                      </m:fPr>
                      <m:num>
                        <m:r>
                          <m:rPr>
                            <m:sty m:val="p"/>
                          </m:rPr>
                          <a:rPr lang="fr-CA" sz="1200" b="0" i="0">
                            <a:solidFill>
                              <a:srgbClr val="143D8D"/>
                            </a:solidFill>
                            <a:latin typeface="Cambria Math" panose="02040503050406030204" pitchFamily="18" charset="0"/>
                            <a:ea typeface="Cambria Math" panose="02040503050406030204" pitchFamily="18" charset="0"/>
                          </a:rPr>
                          <m:t>a</m:t>
                        </m:r>
                      </m:num>
                      <m:den>
                        <m:r>
                          <a:rPr lang="fr-CA" sz="1200" b="0" i="0">
                            <a:solidFill>
                              <a:srgbClr val="143D8D"/>
                            </a:solidFill>
                            <a:latin typeface="Cambria Math" panose="02040503050406030204" pitchFamily="18" charset="0"/>
                            <a:ea typeface="Cambria Math" panose="02040503050406030204" pitchFamily="18" charset="0"/>
                          </a:rPr>
                          <m:t>(</m:t>
                        </m:r>
                        <m:sSup>
                          <m:sSupPr>
                            <m:ctrlPr>
                              <a:rPr lang="fr-CA" sz="1200" i="1">
                                <a:solidFill>
                                  <a:srgbClr val="143D8D"/>
                                </a:solidFill>
                                <a:latin typeface="Cambria Math" panose="02040503050406030204" pitchFamily="18" charset="0"/>
                                <a:ea typeface="Cambria Math" panose="02040503050406030204" pitchFamily="18" charset="0"/>
                              </a:rPr>
                            </m:ctrlPr>
                          </m:sSupPr>
                          <m:e>
                            <m:r>
                              <m:rPr>
                                <m:sty m:val="p"/>
                              </m:rPr>
                              <a:rPr lang="fr-CA" sz="1200" b="0" i="0">
                                <a:solidFill>
                                  <a:srgbClr val="143D8D"/>
                                </a:solidFill>
                                <a:latin typeface="Cambria Math" panose="02040503050406030204" pitchFamily="18" charset="0"/>
                                <a:ea typeface="Cambria Math" panose="02040503050406030204" pitchFamily="18" charset="0"/>
                              </a:rPr>
                              <m:t>t</m:t>
                            </m:r>
                            <m:r>
                              <a:rPr lang="fr-CA" sz="1200" b="0" i="0">
                                <a:solidFill>
                                  <a:srgbClr val="143D8D"/>
                                </a:solidFill>
                                <a:latin typeface="Cambria Math" panose="02040503050406030204" pitchFamily="18" charset="0"/>
                                <a:ea typeface="Cambria Math" panose="02040503050406030204" pitchFamily="18" charset="0"/>
                              </a:rPr>
                              <m:t>+</m:t>
                            </m:r>
                            <m:r>
                              <m:rPr>
                                <m:sty m:val="p"/>
                              </m:rPr>
                              <a:rPr lang="fr-CA" sz="1200" b="0" i="0">
                                <a:solidFill>
                                  <a:srgbClr val="143D8D"/>
                                </a:solidFill>
                                <a:latin typeface="Cambria Math" panose="02040503050406030204" pitchFamily="18" charset="0"/>
                                <a:ea typeface="Cambria Math" panose="02040503050406030204" pitchFamily="18" charset="0"/>
                              </a:rPr>
                              <m:t>b</m:t>
                            </m:r>
                            <m:r>
                              <a:rPr lang="fr-CA" sz="1200" b="0" i="0">
                                <a:solidFill>
                                  <a:srgbClr val="143D8D"/>
                                </a:solidFill>
                                <a:latin typeface="Cambria Math" panose="02040503050406030204" pitchFamily="18" charset="0"/>
                                <a:ea typeface="Cambria Math" panose="02040503050406030204" pitchFamily="18" charset="0"/>
                              </a:rPr>
                              <m:t>)</m:t>
                            </m:r>
                          </m:e>
                          <m:sup>
                            <m:r>
                              <m:rPr>
                                <m:sty m:val="p"/>
                              </m:rPr>
                              <a:rPr lang="fr-CA" sz="1200" b="0" i="0">
                                <a:solidFill>
                                  <a:srgbClr val="143D8D"/>
                                </a:solidFill>
                                <a:latin typeface="Cambria Math" panose="02040503050406030204" pitchFamily="18" charset="0"/>
                                <a:ea typeface="Cambria Math" panose="02040503050406030204" pitchFamily="18" charset="0"/>
                              </a:rPr>
                              <m:t>c</m:t>
                            </m:r>
                          </m:sup>
                        </m:sSup>
                      </m:den>
                    </m:f>
                  </m:oMath>
                </m:oMathPara>
              </a14:m>
              <a:endParaRPr lang="fr-CA" sz="1200" i="0" baseline="30000">
                <a:solidFill>
                  <a:srgbClr val="143D8D"/>
                </a:solidFill>
                <a:latin typeface="Cambria Math" panose="02040503050406030204" pitchFamily="18" charset="0"/>
                <a:ea typeface="Cambria Math" panose="02040503050406030204" pitchFamily="18" charset="0"/>
              </a:endParaRPr>
            </a:p>
          </xdr:txBody>
        </xdr:sp>
      </mc:Choice>
      <mc:Fallback xmlns="">
        <xdr:sp macro="" textlink="">
          <xdr:nvSpPr>
            <xdr:cNvPr id="12" name="ZoneTexte 11">
              <a:extLst>
                <a:ext uri="{FF2B5EF4-FFF2-40B4-BE49-F238E27FC236}">
                  <a16:creationId xmlns:a16="http://schemas.microsoft.com/office/drawing/2014/main" id="{85EE2441-DF70-4124-8AE7-66AF2C846EBE}"/>
                </a:ext>
              </a:extLst>
            </xdr:cNvPr>
            <xdr:cNvSpPr txBox="1"/>
          </xdr:nvSpPr>
          <xdr:spPr>
            <a:xfrm>
              <a:off x="942975" y="23145750"/>
              <a:ext cx="790575" cy="372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r-CA" sz="1200" b="0" i="0">
                  <a:solidFill>
                    <a:srgbClr val="143D8D"/>
                  </a:solidFill>
                  <a:latin typeface="Cambria Math" panose="02040503050406030204" pitchFamily="18" charset="0"/>
                  <a:ea typeface="Cambria Math" panose="02040503050406030204" pitchFamily="18" charset="0"/>
                </a:rPr>
                <a:t>"I" _</a:t>
              </a:r>
              <a:r>
                <a:rPr lang="fr-CA" sz="1200" b="0" i="0">
                  <a:solidFill>
                    <a:srgbClr val="143D8D"/>
                  </a:solidFill>
                  <a:effectLst/>
                  <a:latin typeface="Cambria Math" panose="02040503050406030204" pitchFamily="18" charset="0"/>
                  <a:ea typeface="Cambria Math" panose="02040503050406030204" pitchFamily="18" charset="0"/>
                  <a:cs typeface="+mn-cs"/>
                </a:rPr>
                <a:t>"t</a:t>
              </a:r>
              <a:r>
                <a:rPr lang="fr-CA" sz="1200" b="0" i="0" baseline="-25000">
                  <a:solidFill>
                    <a:srgbClr val="143D8D"/>
                  </a:solidFill>
                  <a:effectLst/>
                  <a:latin typeface="Cambria Math" panose="02040503050406030204" pitchFamily="18" charset="0"/>
                  <a:ea typeface="Cambria Math" panose="02040503050406030204" pitchFamily="18" charset="0"/>
                  <a:cs typeface="+mn-cs"/>
                </a:rPr>
                <a:t>"  "</a:t>
              </a:r>
              <a:r>
                <a:rPr lang="fr-CA" sz="1200" i="0">
                  <a:solidFill>
                    <a:srgbClr val="143D8D"/>
                  </a:solidFill>
                  <a:latin typeface="Cambria Math" panose="02040503050406030204" pitchFamily="18" charset="0"/>
                  <a:ea typeface="Cambria Math" panose="02040503050406030204" pitchFamily="18" charset="0"/>
                </a:rPr>
                <a:t>=" </a:t>
              </a:r>
              <a:r>
                <a:rPr lang="fr-CA" sz="1200" b="0" i="0">
                  <a:solidFill>
                    <a:srgbClr val="143D8D"/>
                  </a:solidFill>
                  <a:latin typeface="Cambria Math" panose="02040503050406030204" pitchFamily="18" charset="0"/>
                  <a:ea typeface="Cambria Math" panose="02040503050406030204" pitchFamily="18" charset="0"/>
                </a:rPr>
                <a:t> a/((〖t+b)〗^c )</a:t>
              </a:r>
              <a:endParaRPr lang="fr-CA" sz="1200" i="0" baseline="30000">
                <a:solidFill>
                  <a:srgbClr val="143D8D"/>
                </a:solidFill>
                <a:latin typeface="Cambria Math" panose="02040503050406030204" pitchFamily="18" charset="0"/>
                <a:ea typeface="Cambria Math" panose="02040503050406030204" pitchFamily="18" charset="0"/>
              </a:endParaRPr>
            </a:p>
          </xdr:txBody>
        </xdr:sp>
      </mc:Fallback>
    </mc:AlternateContent>
    <xdr:clientData/>
  </xdr:oneCellAnchor>
  <xdr:twoCellAnchor editAs="oneCell">
    <xdr:from>
      <xdr:col>1</xdr:col>
      <xdr:colOff>85725</xdr:colOff>
      <xdr:row>142</xdr:row>
      <xdr:rowOff>133349</xdr:rowOff>
    </xdr:from>
    <xdr:to>
      <xdr:col>6</xdr:col>
      <xdr:colOff>695325</xdr:colOff>
      <xdr:row>166</xdr:row>
      <xdr:rowOff>156476</xdr:rowOff>
    </xdr:to>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85725" y="17764124"/>
          <a:ext cx="7353300" cy="4595127"/>
        </a:xfrm>
        <a:prstGeom prst="rect">
          <a:avLst/>
        </a:prstGeom>
      </xdr:spPr>
    </xdr:pic>
    <xdr:clientData/>
  </xdr:twoCellAnchor>
  <xdr:twoCellAnchor editAs="oneCell">
    <xdr:from>
      <xdr:col>1</xdr:col>
      <xdr:colOff>142875</xdr:colOff>
      <xdr:row>61</xdr:row>
      <xdr:rowOff>95250</xdr:rowOff>
    </xdr:from>
    <xdr:to>
      <xdr:col>5</xdr:col>
      <xdr:colOff>408794</xdr:colOff>
      <xdr:row>73</xdr:row>
      <xdr:rowOff>123579</xdr:rowOff>
    </xdr:to>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142875" y="10267950"/>
          <a:ext cx="6247619" cy="1971429"/>
        </a:xfrm>
        <a:prstGeom prst="rect">
          <a:avLst/>
        </a:prstGeom>
      </xdr:spPr>
    </xdr:pic>
    <xdr:clientData/>
  </xdr:twoCellAnchor>
  <xdr:twoCellAnchor editAs="oneCell">
    <xdr:from>
      <xdr:col>1</xdr:col>
      <xdr:colOff>245165</xdr:colOff>
      <xdr:row>96</xdr:row>
      <xdr:rowOff>111756</xdr:rowOff>
    </xdr:from>
    <xdr:to>
      <xdr:col>10</xdr:col>
      <xdr:colOff>177116</xdr:colOff>
      <xdr:row>136</xdr:row>
      <xdr:rowOff>167879</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45165" y="17099386"/>
          <a:ext cx="9721994" cy="76761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13" Type="http://schemas.openxmlformats.org/officeDocument/2006/relationships/oleObject" Target="../embeddings/oleObject2.bin"/><Relationship Id="rId3" Type="http://schemas.openxmlformats.org/officeDocument/2006/relationships/hyperlink" Target="https://www.irda.qc.ca/fr/services/protection-ressources/sante-sols/information-sols/etudes-pedologiques/" TargetMode="External"/><Relationship Id="rId7" Type="http://schemas.openxmlformats.org/officeDocument/2006/relationships/hyperlink" Target="mailto:soutien.dh@transports.gouv.qc.ca" TargetMode="External"/><Relationship Id="rId12" Type="http://schemas.openxmlformats.org/officeDocument/2006/relationships/image" Target="../media/image1.emf"/><Relationship Id="rId2" Type="http://schemas.openxmlformats.org/officeDocument/2006/relationships/hyperlink" Target="https://www.foretouverte.gouv.qc.ca/" TargetMode="External"/><Relationship Id="rId16" Type="http://schemas.openxmlformats.org/officeDocument/2006/relationships/oleObject" Target="../embeddings/oleObject5.bin"/><Relationship Id="rId1" Type="http://schemas.openxmlformats.org/officeDocument/2006/relationships/hyperlink" Target="https://www.donneesquebec.ca/" TargetMode="External"/><Relationship Id="rId6" Type="http://schemas.openxmlformats.org/officeDocument/2006/relationships/hyperlink" Target="https://collaboration.cmc.ec.gc.ca/cmc/climate/Engineer_Climate/IDF" TargetMode="External"/><Relationship Id="rId11" Type="http://schemas.openxmlformats.org/officeDocument/2006/relationships/oleObject" Target="../embeddings/oleObject1.bin"/><Relationship Id="rId5" Type="http://schemas.openxmlformats.org/officeDocument/2006/relationships/hyperlink" Target="https://www.donneesquebec.ca/recherche/fr/dataset/depots-de-surface" TargetMode="External"/><Relationship Id="rId15" Type="http://schemas.openxmlformats.org/officeDocument/2006/relationships/oleObject" Target="../embeddings/oleObject4.bin"/><Relationship Id="rId10" Type="http://schemas.openxmlformats.org/officeDocument/2006/relationships/vmlDrawing" Target="../drawings/vmlDrawing1.vml"/><Relationship Id="rId4" Type="http://schemas.openxmlformats.org/officeDocument/2006/relationships/hyperlink" Target="https://www.quebec.ca/agriculture-environnement-et-ressources-naturelles/forets/recherche-connaissances/inventaire-forestier/donnees-cartes-resultats" TargetMode="External"/><Relationship Id="rId9" Type="http://schemas.openxmlformats.org/officeDocument/2006/relationships/drawing" Target="../drawings/drawing1.xml"/><Relationship Id="rId14"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339"/>
  <sheetViews>
    <sheetView tabSelected="1" zoomScale="90" zoomScaleNormal="90" zoomScaleSheetLayoutView="100" zoomScalePageLayoutView="85" workbookViewId="0">
      <selection activeCell="B27" sqref="B27:F32"/>
    </sheetView>
  </sheetViews>
  <sheetFormatPr baseColWidth="10" defaultColWidth="11.42578125" defaultRowHeight="12.75"/>
  <cols>
    <col min="1" max="1" width="18.140625" style="190" customWidth="1"/>
    <col min="2" max="2" width="30.5703125" style="190" customWidth="1"/>
    <col min="3" max="3" width="30.7109375" style="190" customWidth="1"/>
    <col min="4" max="4" width="30.42578125" style="190" customWidth="1"/>
    <col min="5" max="5" width="30.5703125" style="190" customWidth="1"/>
    <col min="6" max="6" width="30" style="190" customWidth="1"/>
    <col min="7" max="7" width="29.7109375" style="190" customWidth="1"/>
    <col min="8" max="8" width="18.140625" style="190" customWidth="1"/>
    <col min="9" max="9" width="30.5703125" style="190" customWidth="1"/>
    <col min="10" max="10" width="30.7109375" style="190" customWidth="1"/>
    <col min="11" max="11" width="30.42578125" style="190" customWidth="1"/>
    <col min="12" max="12" width="30.5703125" style="190" customWidth="1"/>
    <col min="13" max="13" width="30" style="190" customWidth="1"/>
    <col min="14" max="14" width="30.85546875" style="190" customWidth="1"/>
    <col min="15" max="18" width="11.7109375" style="190" hidden="1" customWidth="1"/>
    <col min="19" max="19" width="5.7109375" style="190" hidden="1" customWidth="1"/>
    <col min="20" max="20" width="3.42578125" style="190" hidden="1" customWidth="1"/>
    <col min="21" max="21" width="3.28515625" style="190" hidden="1" customWidth="1"/>
    <col min="22" max="22" width="2.42578125" style="190" hidden="1" customWidth="1"/>
    <col min="23" max="23" width="10.140625" style="190" customWidth="1"/>
    <col min="24" max="25" width="11.7109375" style="190" customWidth="1"/>
    <col min="26" max="16384" width="11.42578125" style="190"/>
  </cols>
  <sheetData>
    <row r="1" spans="1:23" ht="23.25" customHeight="1">
      <c r="A1" s="442" t="s">
        <v>653</v>
      </c>
      <c r="B1" s="442"/>
      <c r="C1" s="442"/>
      <c r="D1" s="442"/>
      <c r="E1" s="442"/>
      <c r="F1" s="442"/>
      <c r="G1" s="442"/>
      <c r="H1" s="442"/>
      <c r="I1" s="443"/>
      <c r="J1" s="443"/>
      <c r="K1" s="443"/>
      <c r="L1" s="443"/>
      <c r="M1" s="443"/>
      <c r="N1" s="443"/>
    </row>
    <row r="2" spans="1:23" ht="30" customHeight="1">
      <c r="A2" s="447" t="s">
        <v>660</v>
      </c>
      <c r="B2" s="447"/>
      <c r="C2" s="447"/>
      <c r="D2" s="447"/>
      <c r="E2" s="447"/>
      <c r="F2" s="447"/>
      <c r="G2" s="447"/>
      <c r="H2" s="438" t="s">
        <v>590</v>
      </c>
      <c r="I2" s="438"/>
      <c r="J2" s="438"/>
      <c r="K2" s="438"/>
      <c r="L2" s="438"/>
      <c r="M2" s="438"/>
      <c r="N2" s="438"/>
      <c r="O2" s="189"/>
      <c r="P2" s="189"/>
      <c r="Q2" s="189"/>
      <c r="R2" s="189"/>
      <c r="S2" s="189"/>
      <c r="T2" s="189"/>
    </row>
    <row r="3" spans="1:23" ht="15" customHeight="1">
      <c r="A3" s="21"/>
      <c r="B3" s="21"/>
      <c r="C3" s="21"/>
      <c r="D3" s="21"/>
      <c r="E3" s="21"/>
      <c r="F3" s="21"/>
      <c r="G3" s="21"/>
      <c r="H3" s="6"/>
      <c r="I3" s="6"/>
      <c r="J3" s="6"/>
      <c r="K3" s="6"/>
      <c r="L3" s="6"/>
      <c r="M3" s="6"/>
      <c r="N3" s="6"/>
      <c r="O3" s="191"/>
      <c r="P3" s="191"/>
      <c r="Q3" s="191"/>
      <c r="R3" s="191"/>
      <c r="S3" s="191"/>
      <c r="T3" s="191"/>
      <c r="W3" s="444"/>
    </row>
    <row r="4" spans="1:23" ht="24.95" customHeight="1">
      <c r="A4" s="346" t="s">
        <v>530</v>
      </c>
      <c r="B4" s="346"/>
      <c r="C4" s="346"/>
      <c r="D4" s="346"/>
      <c r="E4" s="346"/>
      <c r="F4" s="346"/>
      <c r="G4" s="346"/>
      <c r="H4" s="6"/>
      <c r="I4" s="6"/>
      <c r="J4" s="6"/>
      <c r="K4" s="6"/>
      <c r="L4" s="6"/>
      <c r="M4" s="6"/>
      <c r="N4" s="6"/>
      <c r="O4" s="191"/>
      <c r="P4" s="191"/>
      <c r="Q4" s="191"/>
      <c r="R4" s="191"/>
      <c r="S4" s="191"/>
      <c r="T4" s="191"/>
      <c r="W4" s="444"/>
    </row>
    <row r="5" spans="1:23" ht="18.75" customHeight="1">
      <c r="A5" s="23"/>
      <c r="B5" s="23"/>
      <c r="C5" s="23"/>
      <c r="D5" s="23"/>
      <c r="E5" s="24"/>
      <c r="F5" s="23"/>
      <c r="G5" s="23"/>
      <c r="H5" s="6"/>
      <c r="I5" s="6"/>
      <c r="J5" s="6"/>
      <c r="K5" s="6"/>
      <c r="L5" s="6"/>
      <c r="M5" s="6"/>
      <c r="N5" s="6"/>
      <c r="O5" s="191"/>
      <c r="P5" s="191"/>
      <c r="Q5" s="191"/>
      <c r="R5" s="191"/>
      <c r="S5" s="191"/>
      <c r="T5" s="191"/>
      <c r="W5" s="444"/>
    </row>
    <row r="6" spans="1:23" ht="18.75" customHeight="1" thickBot="1">
      <c r="A6" s="349" t="s">
        <v>565</v>
      </c>
      <c r="B6" s="349"/>
      <c r="C6" s="420"/>
      <c r="D6" s="420"/>
      <c r="E6" s="252"/>
      <c r="F6" s="416" t="s">
        <v>468</v>
      </c>
      <c r="G6" s="416"/>
      <c r="H6" s="6"/>
      <c r="I6" s="6" t="s">
        <v>602</v>
      </c>
      <c r="J6" s="6"/>
      <c r="K6" s="6"/>
      <c r="L6" s="6"/>
      <c r="M6" s="6"/>
      <c r="N6" s="6"/>
      <c r="O6" s="191"/>
      <c r="P6" s="191"/>
      <c r="Q6" s="191"/>
      <c r="R6" s="191"/>
      <c r="S6" s="191"/>
      <c r="T6" s="191"/>
      <c r="W6" s="444"/>
    </row>
    <row r="7" spans="1:23" ht="24" customHeight="1" thickTop="1" thickBot="1">
      <c r="A7" s="349" t="s">
        <v>566</v>
      </c>
      <c r="B7" s="349"/>
      <c r="C7" s="419"/>
      <c r="D7" s="419"/>
      <c r="E7" s="253"/>
      <c r="F7" s="256" t="s">
        <v>469</v>
      </c>
      <c r="G7" s="25"/>
      <c r="H7" s="6"/>
      <c r="I7" s="6"/>
      <c r="J7" s="6"/>
      <c r="K7" s="6"/>
      <c r="L7" s="6"/>
      <c r="M7" s="6"/>
      <c r="N7" s="6"/>
      <c r="O7" s="191"/>
      <c r="P7" s="191"/>
      <c r="Q7" s="191"/>
      <c r="R7" s="191"/>
      <c r="S7" s="191"/>
      <c r="T7" s="191"/>
      <c r="W7" s="444"/>
    </row>
    <row r="8" spans="1:23" ht="24" customHeight="1" thickTop="1" thickBot="1">
      <c r="A8" s="349" t="s">
        <v>474</v>
      </c>
      <c r="B8" s="349"/>
      <c r="C8" s="446"/>
      <c r="D8" s="446"/>
      <c r="E8" s="253"/>
      <c r="F8" s="256" t="s">
        <v>476</v>
      </c>
      <c r="G8" s="26"/>
      <c r="H8" s="6"/>
      <c r="I8" s="6"/>
      <c r="J8" s="6"/>
      <c r="K8" s="6"/>
      <c r="L8" s="6"/>
      <c r="M8" s="6"/>
      <c r="N8" s="6"/>
      <c r="O8" s="191"/>
      <c r="P8" s="191"/>
      <c r="Q8" s="191"/>
      <c r="R8" s="191"/>
      <c r="S8" s="191"/>
      <c r="T8" s="191"/>
      <c r="W8" s="444"/>
    </row>
    <row r="9" spans="1:23" ht="24" customHeight="1" thickTop="1" thickBot="1">
      <c r="A9" s="349" t="s">
        <v>574</v>
      </c>
      <c r="B9" s="349"/>
      <c r="C9" s="350"/>
      <c r="D9" s="350"/>
      <c r="E9" s="253"/>
      <c r="F9" s="256" t="s">
        <v>470</v>
      </c>
      <c r="G9" s="27"/>
      <c r="H9" s="6"/>
      <c r="I9" s="6"/>
      <c r="J9" s="6"/>
      <c r="K9" s="6"/>
      <c r="L9" s="6"/>
      <c r="M9" s="6"/>
      <c r="N9" s="6"/>
      <c r="O9" s="191"/>
      <c r="P9" s="191"/>
      <c r="Q9" s="191"/>
      <c r="R9" s="191"/>
      <c r="S9" s="191"/>
      <c r="T9" s="191"/>
      <c r="W9" s="444"/>
    </row>
    <row r="10" spans="1:23" ht="33.75" customHeight="1" thickTop="1" thickBot="1">
      <c r="A10" s="349" t="s">
        <v>580</v>
      </c>
      <c r="B10" s="349"/>
      <c r="C10" s="350"/>
      <c r="D10" s="350"/>
      <c r="E10" s="254"/>
      <c r="F10" s="256" t="s">
        <v>472</v>
      </c>
      <c r="G10" s="28"/>
      <c r="H10" s="6"/>
      <c r="I10" s="6"/>
      <c r="J10" s="6"/>
      <c r="K10" s="6"/>
      <c r="L10" s="6"/>
      <c r="M10" s="6"/>
      <c r="N10" s="6"/>
      <c r="O10" s="191"/>
      <c r="P10" s="191"/>
      <c r="Q10" s="191"/>
      <c r="R10" s="191"/>
      <c r="S10" s="191"/>
      <c r="T10" s="191"/>
      <c r="W10" s="444"/>
    </row>
    <row r="11" spans="1:23" ht="24" customHeight="1" thickTop="1" thickBot="1">
      <c r="A11" s="349" t="s">
        <v>575</v>
      </c>
      <c r="B11" s="349"/>
      <c r="C11" s="350"/>
      <c r="D11" s="350"/>
      <c r="E11" s="255"/>
      <c r="F11" s="256" t="s">
        <v>471</v>
      </c>
      <c r="G11" s="29"/>
      <c r="H11" s="6"/>
      <c r="I11" s="6"/>
      <c r="J11" s="6"/>
      <c r="K11" s="6"/>
      <c r="L11" s="6"/>
      <c r="M11" s="6"/>
      <c r="N11" s="6"/>
      <c r="O11" s="191"/>
      <c r="P11" s="191"/>
      <c r="Q11" s="191"/>
      <c r="R11" s="191"/>
      <c r="S11" s="191"/>
      <c r="T11" s="191"/>
      <c r="W11" s="444"/>
    </row>
    <row r="12" spans="1:23" ht="33.75" customHeight="1" thickTop="1" thickBot="1">
      <c r="A12" s="349" t="s">
        <v>580</v>
      </c>
      <c r="B12" s="349"/>
      <c r="C12" s="350"/>
      <c r="D12" s="351"/>
      <c r="E12" s="254"/>
      <c r="F12" s="21"/>
      <c r="G12" s="21"/>
      <c r="H12" s="6"/>
      <c r="I12" s="6"/>
      <c r="J12" s="6"/>
      <c r="K12" s="6"/>
      <c r="L12" s="6"/>
      <c r="M12" s="6"/>
      <c r="N12" s="6"/>
      <c r="O12" s="191"/>
      <c r="P12" s="191"/>
      <c r="Q12" s="191"/>
      <c r="R12" s="191"/>
      <c r="S12" s="191"/>
      <c r="T12" s="191"/>
      <c r="W12" s="444"/>
    </row>
    <row r="13" spans="1:23" ht="18" customHeight="1" thickTop="1">
      <c r="A13" s="30"/>
      <c r="B13" s="30"/>
      <c r="C13" s="31"/>
      <c r="D13" s="31"/>
      <c r="E13" s="32"/>
      <c r="F13" s="21"/>
      <c r="G13" s="21"/>
      <c r="H13" s="6"/>
      <c r="I13" s="6"/>
      <c r="J13" s="6"/>
      <c r="K13" s="6"/>
      <c r="L13" s="6"/>
      <c r="M13" s="6"/>
      <c r="N13" s="6"/>
      <c r="O13" s="191"/>
      <c r="P13" s="191"/>
      <c r="Q13" s="191"/>
      <c r="R13" s="191"/>
      <c r="S13" s="191"/>
      <c r="T13" s="191"/>
      <c r="W13" s="444"/>
    </row>
    <row r="14" spans="1:23" ht="18" customHeight="1">
      <c r="A14" s="30"/>
      <c r="B14" s="30"/>
      <c r="C14" s="31"/>
      <c r="D14" s="31"/>
      <c r="E14" s="32"/>
      <c r="F14" s="21"/>
      <c r="G14" s="21"/>
      <c r="H14" s="6"/>
      <c r="I14" s="6"/>
      <c r="J14" s="6"/>
      <c r="K14" s="6"/>
      <c r="L14" s="6"/>
      <c r="M14" s="6"/>
      <c r="N14" s="6"/>
      <c r="O14" s="191"/>
      <c r="P14" s="191"/>
      <c r="Q14" s="191"/>
      <c r="R14" s="191"/>
      <c r="S14" s="191"/>
      <c r="T14" s="191"/>
      <c r="W14" s="444"/>
    </row>
    <row r="15" spans="1:23" ht="18" customHeight="1">
      <c r="A15" s="30"/>
      <c r="B15" s="30"/>
      <c r="C15" s="31"/>
      <c r="D15" s="31"/>
      <c r="E15" s="32"/>
      <c r="F15" s="21"/>
      <c r="G15" s="21"/>
      <c r="H15" s="6"/>
      <c r="I15" s="6"/>
      <c r="J15" s="6"/>
      <c r="K15" s="6"/>
      <c r="L15" s="6"/>
      <c r="M15" s="6"/>
      <c r="N15" s="6"/>
      <c r="O15" s="191"/>
      <c r="P15" s="191"/>
      <c r="Q15" s="191"/>
      <c r="R15" s="191"/>
      <c r="S15" s="191"/>
      <c r="T15" s="191"/>
      <c r="W15" s="444"/>
    </row>
    <row r="16" spans="1:23" ht="15.75">
      <c r="A16" s="33"/>
      <c r="B16" s="33"/>
      <c r="C16" s="34"/>
      <c r="D16" s="34"/>
      <c r="E16" s="34"/>
      <c r="F16" s="23"/>
      <c r="G16" s="23"/>
      <c r="H16" s="7"/>
      <c r="I16" s="6"/>
      <c r="J16" s="6"/>
      <c r="K16" s="6"/>
      <c r="L16" s="6"/>
      <c r="M16" s="6"/>
      <c r="N16" s="6"/>
      <c r="O16" s="191"/>
      <c r="P16" s="191"/>
      <c r="Q16" s="191"/>
      <c r="R16" s="191"/>
      <c r="S16" s="191"/>
      <c r="T16" s="191"/>
      <c r="W16" s="444"/>
    </row>
    <row r="17" spans="1:23" ht="24.95" customHeight="1">
      <c r="A17" s="346" t="s">
        <v>531</v>
      </c>
      <c r="B17" s="346"/>
      <c r="C17" s="346"/>
      <c r="D17" s="346"/>
      <c r="E17" s="346"/>
      <c r="F17" s="346"/>
      <c r="G17" s="346"/>
      <c r="H17" s="6"/>
      <c r="I17" s="6"/>
      <c r="J17" s="6"/>
      <c r="K17" s="6"/>
      <c r="L17" s="6"/>
      <c r="M17" s="6"/>
      <c r="N17" s="6"/>
      <c r="O17" s="191"/>
      <c r="P17" s="191"/>
      <c r="Q17" s="191"/>
      <c r="R17" s="191"/>
      <c r="S17" s="191"/>
      <c r="T17" s="191"/>
      <c r="W17" s="444"/>
    </row>
    <row r="18" spans="1:23" ht="20.25" customHeight="1">
      <c r="A18" s="21"/>
      <c r="B18" s="21"/>
      <c r="C18" s="21"/>
      <c r="D18" s="21"/>
      <c r="E18" s="21"/>
      <c r="F18" s="21"/>
      <c r="G18" s="21"/>
      <c r="H18" s="6"/>
      <c r="I18" s="6"/>
      <c r="J18" s="6"/>
      <c r="K18" s="6"/>
      <c r="L18" s="6"/>
      <c r="M18" s="6"/>
      <c r="N18" s="6"/>
      <c r="O18" s="191"/>
      <c r="P18" s="191"/>
      <c r="Q18" s="191"/>
      <c r="R18" s="191"/>
      <c r="S18" s="191"/>
      <c r="T18" s="191"/>
      <c r="W18" s="444"/>
    </row>
    <row r="19" spans="1:23" ht="24" customHeight="1" thickBot="1">
      <c r="A19" s="349" t="s">
        <v>473</v>
      </c>
      <c r="B19" s="349"/>
      <c r="C19" s="432"/>
      <c r="D19" s="432"/>
      <c r="E19" s="21"/>
      <c r="F19" s="21"/>
      <c r="G19" s="21"/>
      <c r="H19" s="6"/>
      <c r="I19" s="6"/>
      <c r="J19" s="6"/>
      <c r="K19" s="6"/>
      <c r="L19" s="6"/>
      <c r="M19" s="6"/>
      <c r="N19" s="6"/>
      <c r="O19" s="191"/>
      <c r="P19" s="191"/>
      <c r="Q19" s="191"/>
      <c r="R19" s="191"/>
      <c r="S19" s="191"/>
      <c r="T19" s="191"/>
      <c r="W19" s="444"/>
    </row>
    <row r="20" spans="1:23" ht="24" customHeight="1" thickTop="1" thickBot="1">
      <c r="A20" s="349" t="s">
        <v>10</v>
      </c>
      <c r="B20" s="349"/>
      <c r="C20" s="433"/>
      <c r="D20" s="433"/>
      <c r="E20" s="21"/>
      <c r="F20" s="21"/>
      <c r="G20" s="21"/>
      <c r="H20" s="6"/>
      <c r="I20" s="6"/>
      <c r="J20" s="6"/>
      <c r="K20" s="6"/>
      <c r="L20" s="6"/>
      <c r="M20" s="6"/>
      <c r="N20" s="6"/>
      <c r="O20" s="191"/>
      <c r="P20" s="191"/>
      <c r="Q20" s="191"/>
      <c r="R20" s="191"/>
      <c r="S20" s="191"/>
      <c r="T20" s="191"/>
      <c r="W20" s="444"/>
    </row>
    <row r="21" spans="1:23" ht="24" customHeight="1" thickTop="1" thickBot="1">
      <c r="A21" s="349" t="s">
        <v>11</v>
      </c>
      <c r="B21" s="349"/>
      <c r="C21" s="433"/>
      <c r="D21" s="433"/>
      <c r="E21" s="21"/>
      <c r="F21" s="21"/>
      <c r="G21" s="21"/>
      <c r="H21" s="6"/>
      <c r="I21" s="6"/>
      <c r="J21" s="6"/>
      <c r="K21" s="6"/>
      <c r="L21" s="6"/>
      <c r="M21" s="6"/>
      <c r="N21" s="6"/>
      <c r="O21" s="191"/>
      <c r="P21" s="191"/>
      <c r="Q21" s="191"/>
      <c r="R21" s="191"/>
      <c r="S21" s="191"/>
      <c r="T21" s="191"/>
      <c r="W21" s="444"/>
    </row>
    <row r="22" spans="1:23" ht="24" customHeight="1" thickTop="1" thickBot="1">
      <c r="A22" s="349" t="s">
        <v>637</v>
      </c>
      <c r="B22" s="349"/>
      <c r="C22" s="434"/>
      <c r="D22" s="434"/>
      <c r="E22" s="358" t="str">
        <f>IF(OR(C22="",C23=""),"Les champs de latitude et de longitude sont obligatoires.                        Exemple: latitude: 45,9246; longitude: -73,3781",IF(AND(-79.6&lt;=C23,C23&lt;=-57,45&lt;=C22,C22&lt;=62.6),"","Mise en garde: le projet est situé à l'extérieur du territoire québecois ou le système de coordonnées n'est pas dans le bon format."))</f>
        <v>Les champs de latitude et de longitude sont obligatoires.                        Exemple: latitude: 45,9246; longitude: -73,3781</v>
      </c>
      <c r="F22" s="358"/>
      <c r="G22" s="21"/>
      <c r="H22" s="6"/>
      <c r="I22" s="6"/>
      <c r="J22" s="6"/>
      <c r="K22" s="6"/>
      <c r="L22" s="6"/>
      <c r="M22" s="6"/>
      <c r="N22" s="6"/>
      <c r="O22" s="191"/>
      <c r="P22" s="191"/>
      <c r="Q22" s="191"/>
      <c r="R22" s="191"/>
      <c r="S22" s="191"/>
      <c r="T22" s="191"/>
      <c r="W22" s="444"/>
    </row>
    <row r="23" spans="1:23" ht="24" customHeight="1" thickTop="1">
      <c r="A23" s="349" t="s">
        <v>638</v>
      </c>
      <c r="B23" s="349"/>
      <c r="C23" s="397"/>
      <c r="D23" s="397"/>
      <c r="E23" s="358"/>
      <c r="F23" s="358"/>
      <c r="G23" s="21"/>
      <c r="H23" s="6"/>
      <c r="I23" s="6"/>
      <c r="J23" s="6"/>
      <c r="K23" s="6"/>
      <c r="L23" s="6"/>
      <c r="M23" s="6"/>
      <c r="N23" s="6"/>
      <c r="O23" s="191"/>
      <c r="P23" s="191"/>
      <c r="Q23" s="191"/>
      <c r="R23" s="191"/>
      <c r="S23" s="191"/>
      <c r="T23" s="191"/>
      <c r="W23" s="444"/>
    </row>
    <row r="24" spans="1:23" ht="24" customHeight="1">
      <c r="A24" s="35"/>
      <c r="B24" s="35"/>
      <c r="C24" s="36"/>
      <c r="D24" s="36"/>
      <c r="E24" s="21"/>
      <c r="F24" s="21"/>
      <c r="G24" s="21"/>
      <c r="H24" s="6"/>
      <c r="I24" s="6"/>
      <c r="J24" s="6"/>
      <c r="K24" s="6"/>
      <c r="L24" s="6"/>
      <c r="M24" s="6"/>
      <c r="N24" s="6"/>
      <c r="O24" s="191"/>
      <c r="P24" s="191"/>
      <c r="Q24" s="191"/>
      <c r="R24" s="191"/>
      <c r="S24" s="191"/>
      <c r="T24" s="191"/>
      <c r="W24" s="444"/>
    </row>
    <row r="25" spans="1:23" ht="24" customHeight="1">
      <c r="A25" s="35"/>
      <c r="B25" s="35"/>
      <c r="C25" s="36"/>
      <c r="D25" s="36"/>
      <c r="E25" s="21"/>
      <c r="F25" s="21"/>
      <c r="G25" s="21"/>
      <c r="H25" s="6"/>
      <c r="I25" s="6"/>
      <c r="J25" s="6"/>
      <c r="K25" s="6"/>
      <c r="L25" s="6"/>
      <c r="M25" s="6"/>
      <c r="N25" s="6"/>
      <c r="O25" s="191"/>
      <c r="P25" s="191"/>
      <c r="Q25" s="191"/>
      <c r="R25" s="191"/>
      <c r="S25" s="191"/>
      <c r="T25" s="191"/>
      <c r="W25" s="444"/>
    </row>
    <row r="26" spans="1:23" ht="24" customHeight="1">
      <c r="A26" s="35"/>
      <c r="B26" s="35"/>
      <c r="C26" s="36"/>
      <c r="D26" s="36"/>
      <c r="E26" s="21"/>
      <c r="F26" s="21"/>
      <c r="G26" s="21"/>
      <c r="H26" s="6"/>
      <c r="I26" s="6"/>
      <c r="J26" s="6"/>
      <c r="K26" s="6"/>
      <c r="L26" s="6"/>
      <c r="M26" s="6"/>
      <c r="N26" s="6"/>
      <c r="O26" s="191"/>
      <c r="P26" s="191"/>
      <c r="Q26" s="191"/>
      <c r="R26" s="191"/>
      <c r="S26" s="191"/>
      <c r="T26" s="191"/>
      <c r="W26" s="444"/>
    </row>
    <row r="27" spans="1:23" ht="18" customHeight="1">
      <c r="A27" s="35"/>
      <c r="B27" s="37" t="s">
        <v>654</v>
      </c>
      <c r="C27" s="36"/>
      <c r="D27" s="36"/>
      <c r="E27" s="38"/>
      <c r="F27" s="39"/>
      <c r="G27" s="40"/>
      <c r="H27" s="6"/>
      <c r="I27" s="6"/>
      <c r="J27" s="6"/>
      <c r="K27" s="6"/>
      <c r="L27" s="6"/>
      <c r="M27" s="6"/>
      <c r="N27" s="6"/>
      <c r="O27" s="191"/>
      <c r="P27" s="191"/>
      <c r="Q27" s="191"/>
      <c r="R27" s="191"/>
      <c r="S27" s="191"/>
      <c r="T27" s="191"/>
      <c r="W27" s="444"/>
    </row>
    <row r="28" spans="1:23" ht="18" customHeight="1">
      <c r="A28" s="35"/>
      <c r="B28" s="41" t="s">
        <v>655</v>
      </c>
      <c r="C28" s="36"/>
      <c r="D28" s="36"/>
      <c r="E28" s="38"/>
      <c r="F28" s="38"/>
      <c r="G28" s="21"/>
      <c r="H28" s="6"/>
      <c r="I28" s="6"/>
      <c r="J28" s="6"/>
      <c r="K28" s="6"/>
      <c r="L28" s="6"/>
      <c r="M28" s="6"/>
      <c r="N28" s="6"/>
      <c r="O28" s="191"/>
      <c r="P28" s="191"/>
      <c r="Q28" s="191"/>
      <c r="R28" s="191"/>
      <c r="S28" s="191"/>
      <c r="T28" s="191"/>
      <c r="W28" s="444"/>
    </row>
    <row r="29" spans="1:23" ht="40.5" customHeight="1">
      <c r="A29" s="21"/>
      <c r="B29" s="415" t="s">
        <v>656</v>
      </c>
      <c r="C29" s="415"/>
      <c r="D29" s="415"/>
      <c r="E29" s="415"/>
      <c r="F29" s="415"/>
      <c r="G29" s="21"/>
      <c r="H29" s="6"/>
      <c r="I29" s="6"/>
      <c r="J29" s="6"/>
      <c r="K29" s="6"/>
      <c r="L29" s="6"/>
      <c r="M29" s="6"/>
      <c r="N29" s="6"/>
      <c r="O29" s="191"/>
      <c r="P29" s="191"/>
      <c r="Q29" s="191"/>
      <c r="R29" s="191"/>
      <c r="S29" s="191"/>
      <c r="T29" s="191"/>
      <c r="W29" s="444"/>
    </row>
    <row r="30" spans="1:23" ht="18" customHeight="1">
      <c r="A30" s="21"/>
      <c r="B30" s="41" t="s">
        <v>657</v>
      </c>
      <c r="C30" s="42"/>
      <c r="D30" s="42"/>
      <c r="E30" s="42"/>
      <c r="F30" s="42"/>
      <c r="G30" s="21"/>
      <c r="H30" s="6"/>
      <c r="I30" s="6"/>
      <c r="J30" s="6"/>
      <c r="K30" s="6"/>
      <c r="L30" s="6"/>
      <c r="M30" s="6"/>
      <c r="N30" s="6"/>
      <c r="O30" s="191"/>
      <c r="P30" s="191"/>
      <c r="Q30" s="191"/>
      <c r="R30" s="191"/>
      <c r="S30" s="191"/>
      <c r="T30" s="191"/>
      <c r="W30" s="444"/>
    </row>
    <row r="31" spans="1:23" ht="18" customHeight="1">
      <c r="A31" s="21"/>
      <c r="B31" s="437" t="s">
        <v>658</v>
      </c>
      <c r="C31" s="437"/>
      <c r="D31" s="437"/>
      <c r="E31" s="437"/>
      <c r="F31" s="437"/>
      <c r="G31" s="21"/>
      <c r="H31" s="6"/>
      <c r="I31" s="6"/>
      <c r="J31" s="6"/>
      <c r="K31" s="6"/>
      <c r="L31" s="6"/>
      <c r="M31" s="6"/>
      <c r="N31" s="6"/>
      <c r="O31" s="191"/>
      <c r="P31" s="191"/>
      <c r="Q31" s="191"/>
      <c r="R31" s="191"/>
      <c r="S31" s="191"/>
      <c r="T31" s="191"/>
      <c r="W31" s="444"/>
    </row>
    <row r="32" spans="1:23" ht="18" customHeight="1">
      <c r="A32" s="21"/>
      <c r="B32" s="41" t="s">
        <v>659</v>
      </c>
      <c r="C32" s="38"/>
      <c r="D32" s="38"/>
      <c r="E32" s="38"/>
      <c r="F32" s="38"/>
      <c r="G32" s="21"/>
      <c r="H32" s="6"/>
      <c r="I32" s="6"/>
      <c r="J32" s="6"/>
      <c r="K32" s="6"/>
      <c r="L32" s="6"/>
      <c r="M32" s="6"/>
      <c r="N32" s="6"/>
      <c r="O32" s="191"/>
      <c r="P32" s="191"/>
      <c r="Q32" s="191"/>
      <c r="R32" s="191"/>
      <c r="S32" s="191"/>
      <c r="T32" s="191"/>
      <c r="W32" s="444"/>
    </row>
    <row r="33" spans="1:23" ht="18" customHeight="1">
      <c r="A33" s="21"/>
      <c r="B33" s="20"/>
      <c r="C33" s="21"/>
      <c r="D33" s="21"/>
      <c r="E33" s="21"/>
      <c r="F33" s="43" t="s">
        <v>601</v>
      </c>
      <c r="G33" s="21"/>
      <c r="H33" s="6"/>
      <c r="I33" s="6"/>
      <c r="J33" s="6"/>
      <c r="K33" s="6"/>
      <c r="L33" s="6"/>
      <c r="M33" s="6"/>
      <c r="N33" s="6"/>
      <c r="O33" s="191"/>
      <c r="P33" s="191"/>
      <c r="Q33" s="191"/>
      <c r="R33" s="191"/>
      <c r="S33" s="191"/>
      <c r="T33" s="191"/>
      <c r="W33" s="444"/>
    </row>
    <row r="34" spans="1:23">
      <c r="A34" s="21"/>
      <c r="B34" s="21"/>
      <c r="C34" s="21"/>
      <c r="D34" s="21"/>
      <c r="E34" s="21"/>
      <c r="F34" s="21"/>
      <c r="G34" s="21"/>
      <c r="H34" s="6"/>
      <c r="I34" s="6"/>
      <c r="J34" s="6"/>
      <c r="K34" s="6"/>
      <c r="L34" s="6"/>
      <c r="M34" s="6"/>
      <c r="N34" s="6"/>
      <c r="O34" s="191"/>
      <c r="P34" s="191"/>
      <c r="Q34" s="191"/>
      <c r="R34" s="191"/>
      <c r="S34" s="191"/>
      <c r="T34" s="191"/>
      <c r="W34" s="444"/>
    </row>
    <row r="35" spans="1:23">
      <c r="A35" s="21"/>
      <c r="B35" s="21"/>
      <c r="C35" s="21"/>
      <c r="D35" s="21"/>
      <c r="E35" s="21"/>
      <c r="F35" s="21"/>
      <c r="G35" s="21"/>
      <c r="H35" s="6"/>
      <c r="I35" s="6"/>
      <c r="J35" s="6"/>
      <c r="K35" s="6"/>
      <c r="L35" s="6"/>
      <c r="M35" s="6"/>
      <c r="N35" s="6"/>
      <c r="O35" s="191"/>
      <c r="P35" s="191"/>
      <c r="Q35" s="191"/>
      <c r="R35" s="191"/>
      <c r="S35" s="191"/>
      <c r="T35" s="191"/>
      <c r="W35" s="444"/>
    </row>
    <row r="36" spans="1:23">
      <c r="A36" s="21"/>
      <c r="B36" s="21"/>
      <c r="C36" s="21"/>
      <c r="D36" s="21"/>
      <c r="E36" s="21"/>
      <c r="F36" s="21"/>
      <c r="G36" s="21"/>
      <c r="H36" s="6"/>
      <c r="I36" s="6"/>
      <c r="J36" s="6"/>
      <c r="K36" s="6"/>
      <c r="L36" s="6"/>
      <c r="M36" s="6"/>
      <c r="N36" s="6"/>
      <c r="O36" s="191"/>
      <c r="P36" s="191"/>
      <c r="Q36" s="191"/>
      <c r="R36" s="191"/>
      <c r="S36" s="191"/>
      <c r="T36" s="191"/>
      <c r="W36" s="444"/>
    </row>
    <row r="37" spans="1:23">
      <c r="A37" s="21"/>
      <c r="B37" s="21"/>
      <c r="C37" s="21"/>
      <c r="D37" s="21"/>
      <c r="E37" s="21"/>
      <c r="F37" s="21"/>
      <c r="G37" s="21"/>
      <c r="H37" s="6"/>
      <c r="I37" s="6"/>
      <c r="J37" s="6"/>
      <c r="K37" s="6"/>
      <c r="L37" s="6"/>
      <c r="M37" s="6"/>
      <c r="N37" s="6"/>
      <c r="O37" s="191"/>
      <c r="P37" s="191"/>
      <c r="Q37" s="191"/>
      <c r="R37" s="191"/>
      <c r="S37" s="191"/>
      <c r="T37" s="191"/>
      <c r="W37" s="444"/>
    </row>
    <row r="38" spans="1:23">
      <c r="A38" s="21"/>
      <c r="B38" s="21"/>
      <c r="C38" s="21"/>
      <c r="D38" s="21"/>
      <c r="E38" s="21"/>
      <c r="F38" s="21"/>
      <c r="G38" s="21"/>
      <c r="H38" s="6"/>
      <c r="I38" s="6"/>
      <c r="J38" s="6"/>
      <c r="K38" s="6"/>
      <c r="L38" s="6"/>
      <c r="M38" s="6"/>
      <c r="N38" s="6"/>
      <c r="O38" s="191"/>
      <c r="P38" s="191"/>
      <c r="Q38" s="191"/>
      <c r="R38" s="191"/>
      <c r="S38" s="191"/>
      <c r="T38" s="191"/>
      <c r="W38" s="444"/>
    </row>
    <row r="39" spans="1:23" ht="24.95" customHeight="1">
      <c r="A39" s="346" t="s">
        <v>532</v>
      </c>
      <c r="B39" s="346"/>
      <c r="C39" s="346"/>
      <c r="D39" s="346"/>
      <c r="E39" s="346"/>
      <c r="F39" s="346"/>
      <c r="G39" s="346"/>
      <c r="H39" s="6"/>
      <c r="I39" s="6"/>
      <c r="J39" s="6"/>
      <c r="K39" s="6"/>
      <c r="L39" s="6"/>
      <c r="M39" s="6"/>
      <c r="N39" s="6"/>
      <c r="O39" s="191"/>
      <c r="P39" s="191"/>
      <c r="Q39" s="191"/>
      <c r="R39" s="191"/>
      <c r="S39" s="191"/>
      <c r="T39" s="191"/>
      <c r="W39" s="444"/>
    </row>
    <row r="40" spans="1:23" ht="14.25" customHeight="1">
      <c r="A40" s="21"/>
      <c r="B40" s="21"/>
      <c r="C40" s="21"/>
      <c r="D40" s="21"/>
      <c r="E40" s="21"/>
      <c r="F40" s="21"/>
      <c r="G40" s="21"/>
      <c r="H40" s="6"/>
      <c r="I40" s="6"/>
      <c r="J40" s="6"/>
      <c r="K40" s="6"/>
      <c r="L40" s="6"/>
      <c r="M40" s="6"/>
      <c r="N40" s="6"/>
      <c r="O40" s="191"/>
      <c r="P40" s="191"/>
      <c r="Q40" s="191"/>
      <c r="R40" s="191"/>
      <c r="S40" s="191"/>
      <c r="T40" s="191"/>
      <c r="W40" s="444"/>
    </row>
    <row r="41" spans="1:23" ht="24.95" customHeight="1">
      <c r="A41" s="360" t="s">
        <v>661</v>
      </c>
      <c r="B41" s="360"/>
      <c r="C41" s="360"/>
      <c r="D41" s="360"/>
      <c r="E41" s="360"/>
      <c r="F41" s="360"/>
      <c r="G41" s="44"/>
      <c r="H41" s="438" t="s">
        <v>590</v>
      </c>
      <c r="I41" s="438"/>
      <c r="J41" s="438"/>
      <c r="K41" s="438"/>
      <c r="L41" s="438"/>
      <c r="M41" s="438"/>
      <c r="N41" s="438"/>
      <c r="O41" s="191"/>
      <c r="P41" s="191"/>
      <c r="Q41" s="191"/>
      <c r="R41" s="191"/>
      <c r="S41" s="191"/>
      <c r="T41" s="191"/>
    </row>
    <row r="42" spans="1:23" ht="14.25" customHeight="1">
      <c r="A42" s="21"/>
      <c r="B42" s="45"/>
      <c r="C42" s="21"/>
      <c r="D42" s="428" t="str">
        <f>IF(C44&gt;60,"Mise en garde: L'aire du bassin versant est plus grande ou égale à 60 km². La méthode rationnelle n'a pas été développée pour de telles superficies. Il serait judicieux de considérer d'autres méthodes.","")</f>
        <v/>
      </c>
      <c r="E42" s="428"/>
      <c r="F42" s="21"/>
      <c r="G42" s="21"/>
      <c r="H42" s="6"/>
      <c r="I42" s="6"/>
      <c r="J42" s="6"/>
      <c r="K42" s="6"/>
      <c r="L42" s="6"/>
      <c r="M42" s="6"/>
      <c r="N42" s="6"/>
      <c r="O42" s="191"/>
      <c r="P42" s="191"/>
      <c r="Q42" s="191"/>
      <c r="R42" s="191"/>
      <c r="S42" s="191"/>
      <c r="T42" s="191"/>
      <c r="W42" s="444"/>
    </row>
    <row r="43" spans="1:23" ht="12.75" customHeight="1">
      <c r="A43" s="21"/>
      <c r="B43" s="21"/>
      <c r="C43" s="46"/>
      <c r="D43" s="428"/>
      <c r="E43" s="428"/>
      <c r="F43" s="21"/>
      <c r="G43" s="21"/>
      <c r="H43" s="6"/>
      <c r="I43" s="6"/>
      <c r="J43" s="6"/>
      <c r="K43" s="6"/>
      <c r="L43" s="6"/>
      <c r="M43" s="6"/>
      <c r="N43" s="6"/>
      <c r="O43" s="191"/>
      <c r="P43" s="191"/>
      <c r="Q43" s="191"/>
      <c r="R43" s="191"/>
      <c r="S43" s="191"/>
      <c r="T43" s="191"/>
      <c r="W43" s="444"/>
    </row>
    <row r="44" spans="1:23" ht="18" customHeight="1">
      <c r="A44" s="33"/>
      <c r="B44" s="47" t="s">
        <v>528</v>
      </c>
      <c r="C44" s="2"/>
      <c r="D44" s="428"/>
      <c r="E44" s="428"/>
      <c r="F44" s="316" t="s">
        <v>511</v>
      </c>
      <c r="G44" s="210"/>
      <c r="H44" s="6"/>
      <c r="I44" s="6"/>
      <c r="J44" s="6"/>
      <c r="K44" s="6"/>
      <c r="L44" s="6"/>
      <c r="M44" s="6"/>
      <c r="N44" s="6"/>
      <c r="O44" s="191"/>
      <c r="P44" s="191"/>
      <c r="Q44" s="191"/>
      <c r="R44" s="191"/>
      <c r="S44" s="191"/>
      <c r="T44" s="191"/>
      <c r="W44" s="444"/>
    </row>
    <row r="45" spans="1:23" ht="18" customHeight="1">
      <c r="A45" s="48"/>
      <c r="B45" s="49"/>
      <c r="C45" s="50"/>
      <c r="D45" s="428"/>
      <c r="E45" s="428"/>
      <c r="F45" s="21"/>
      <c r="G45" s="21"/>
      <c r="H45" s="6"/>
      <c r="I45" s="6" t="s">
        <v>602</v>
      </c>
      <c r="J45" s="6"/>
      <c r="K45" s="6"/>
      <c r="L45" s="6"/>
      <c r="M45" s="6"/>
      <c r="N45" s="6"/>
      <c r="O45" s="191"/>
      <c r="P45" s="191"/>
      <c r="Q45" s="191"/>
      <c r="R45" s="191"/>
      <c r="S45" s="191"/>
      <c r="T45" s="191"/>
      <c r="W45" s="444"/>
    </row>
    <row r="46" spans="1:23" ht="18" customHeight="1">
      <c r="A46" s="51" t="s">
        <v>567</v>
      </c>
      <c r="B46" s="52"/>
      <c r="C46" s="50"/>
      <c r="D46" s="50"/>
      <c r="E46" s="46"/>
      <c r="F46" s="21"/>
      <c r="G46" s="21"/>
      <c r="H46" s="6"/>
      <c r="I46" s="6"/>
      <c r="J46" s="6"/>
      <c r="K46" s="6"/>
      <c r="L46" s="6"/>
      <c r="M46" s="6"/>
      <c r="N46" s="6"/>
      <c r="O46" s="191"/>
      <c r="P46" s="191"/>
      <c r="Q46" s="191"/>
      <c r="R46" s="191"/>
      <c r="S46" s="191"/>
      <c r="T46" s="191"/>
      <c r="W46" s="444"/>
    </row>
    <row r="47" spans="1:23" s="193" customFormat="1" ht="15" customHeight="1">
      <c r="A47" s="53"/>
      <c r="B47" s="436" t="s">
        <v>493</v>
      </c>
      <c r="C47" s="436"/>
      <c r="D47" s="54"/>
      <c r="E47" s="55"/>
      <c r="F47" s="53"/>
      <c r="G47" s="53"/>
      <c r="H47" s="8"/>
      <c r="I47" s="8"/>
      <c r="J47" s="8"/>
      <c r="K47" s="8"/>
      <c r="L47" s="8"/>
      <c r="M47" s="8"/>
      <c r="N47" s="8"/>
      <c r="O47" s="192"/>
      <c r="P47" s="192"/>
      <c r="Q47" s="192"/>
      <c r="R47" s="192"/>
      <c r="S47" s="192"/>
      <c r="T47" s="192"/>
      <c r="W47" s="444"/>
    </row>
    <row r="48" spans="1:23" s="193" customFormat="1" ht="15" customHeight="1" thickBot="1">
      <c r="A48" s="53"/>
      <c r="B48" s="436" t="s">
        <v>494</v>
      </c>
      <c r="C48" s="436"/>
      <c r="D48" s="54"/>
      <c r="E48" s="55"/>
      <c r="F48" s="56"/>
      <c r="G48" s="53"/>
      <c r="H48" s="8"/>
      <c r="I48" s="8"/>
      <c r="J48" s="8"/>
      <c r="K48" s="8"/>
      <c r="L48" s="8"/>
      <c r="M48" s="8"/>
      <c r="N48" s="8"/>
      <c r="O48" s="192"/>
      <c r="P48" s="192"/>
      <c r="Q48" s="192"/>
      <c r="R48" s="192"/>
      <c r="S48" s="192"/>
      <c r="T48" s="192"/>
      <c r="W48" s="444"/>
    </row>
    <row r="49" spans="1:23" s="193" customFormat="1" ht="15" customHeight="1" thickTop="1" thickBot="1">
      <c r="A49" s="53"/>
      <c r="B49" s="57" t="s">
        <v>568</v>
      </c>
      <c r="C49" s="357"/>
      <c r="D49" s="357"/>
      <c r="E49" s="357"/>
      <c r="F49" s="357"/>
      <c r="G49" s="53"/>
      <c r="H49" s="8"/>
      <c r="I49" s="8"/>
      <c r="J49" s="8"/>
      <c r="K49" s="8"/>
      <c r="L49" s="8"/>
      <c r="M49" s="8"/>
      <c r="N49" s="8"/>
      <c r="O49" s="192"/>
      <c r="P49" s="192"/>
      <c r="Q49" s="192"/>
      <c r="R49" s="192"/>
      <c r="S49" s="192"/>
      <c r="T49" s="192"/>
      <c r="W49" s="444"/>
    </row>
    <row r="50" spans="1:23" s="193" customFormat="1" ht="15" customHeight="1" thickTop="1" thickBot="1">
      <c r="A50" s="53"/>
      <c r="B50" s="58"/>
      <c r="C50" s="357"/>
      <c r="D50" s="357"/>
      <c r="E50" s="357"/>
      <c r="F50" s="357"/>
      <c r="G50" s="53"/>
      <c r="H50" s="8"/>
      <c r="I50" s="8"/>
      <c r="J50" s="8"/>
      <c r="K50" s="8"/>
      <c r="L50" s="8"/>
      <c r="M50" s="8"/>
      <c r="N50" s="8"/>
      <c r="O50" s="192"/>
      <c r="P50" s="192"/>
      <c r="Q50" s="192"/>
      <c r="R50" s="192"/>
      <c r="S50" s="192"/>
      <c r="T50" s="192"/>
      <c r="W50" s="444"/>
    </row>
    <row r="51" spans="1:23" ht="12.75" customHeight="1" thickTop="1">
      <c r="A51" s="59"/>
      <c r="B51" s="21"/>
      <c r="C51" s="50"/>
      <c r="D51" s="50"/>
      <c r="E51" s="46"/>
      <c r="F51" s="21"/>
      <c r="G51" s="21"/>
      <c r="H51" s="6"/>
      <c r="I51" s="6"/>
      <c r="J51" s="6"/>
      <c r="K51" s="6"/>
      <c r="L51" s="6"/>
      <c r="M51" s="6"/>
      <c r="N51" s="6"/>
      <c r="O51" s="191"/>
      <c r="P51" s="191"/>
      <c r="Q51" s="191"/>
      <c r="R51" s="191"/>
      <c r="S51" s="191"/>
      <c r="T51" s="191"/>
      <c r="W51" s="444"/>
    </row>
    <row r="52" spans="1:23" ht="24.95" customHeight="1">
      <c r="A52" s="360" t="s">
        <v>662</v>
      </c>
      <c r="B52" s="360"/>
      <c r="C52" s="360"/>
      <c r="D52" s="360"/>
      <c r="E52" s="360"/>
      <c r="F52" s="360"/>
      <c r="G52" s="44"/>
      <c r="H52" s="6"/>
      <c r="I52" s="6"/>
      <c r="J52" s="6"/>
      <c r="K52" s="6"/>
      <c r="L52" s="6"/>
      <c r="M52" s="6"/>
      <c r="N52" s="6"/>
      <c r="O52" s="191"/>
      <c r="P52" s="191"/>
      <c r="Q52" s="191"/>
      <c r="R52" s="191"/>
      <c r="S52" s="191"/>
      <c r="T52" s="191"/>
      <c r="W52" s="444"/>
    </row>
    <row r="53" spans="1:23" ht="17.25" customHeight="1">
      <c r="A53" s="60"/>
      <c r="B53" s="60"/>
      <c r="C53" s="60"/>
      <c r="D53" s="60"/>
      <c r="E53" s="60"/>
      <c r="F53" s="60"/>
      <c r="G53" s="61"/>
      <c r="H53" s="6"/>
      <c r="I53" s="6"/>
      <c r="J53" s="6"/>
      <c r="K53" s="6"/>
      <c r="L53" s="6"/>
      <c r="M53" s="6"/>
      <c r="N53" s="6"/>
      <c r="O53" s="191"/>
      <c r="P53" s="191"/>
      <c r="Q53" s="191"/>
      <c r="R53" s="191"/>
      <c r="S53" s="191"/>
      <c r="T53" s="191"/>
      <c r="W53" s="444"/>
    </row>
    <row r="54" spans="1:23" ht="17.25" customHeight="1">
      <c r="A54" s="62" t="s">
        <v>533</v>
      </c>
      <c r="B54" s="60"/>
      <c r="C54" s="60"/>
      <c r="D54" s="60"/>
      <c r="E54" s="60"/>
      <c r="F54" s="60"/>
      <c r="G54" s="61"/>
      <c r="H54" s="6"/>
      <c r="I54" s="6"/>
      <c r="J54" s="6"/>
      <c r="K54" s="6"/>
      <c r="L54" s="6"/>
      <c r="M54" s="6"/>
      <c r="N54" s="6"/>
      <c r="O54" s="191"/>
      <c r="P54" s="191"/>
      <c r="Q54" s="191"/>
      <c r="R54" s="191"/>
      <c r="S54" s="191"/>
      <c r="T54" s="191"/>
      <c r="W54" s="444"/>
    </row>
    <row r="55" spans="1:23" ht="12" customHeight="1">
      <c r="A55" s="62"/>
      <c r="B55" s="60"/>
      <c r="C55" s="60"/>
      <c r="D55" s="60"/>
      <c r="E55" s="60"/>
      <c r="F55" s="60"/>
      <c r="G55" s="61"/>
      <c r="H55" s="6"/>
      <c r="I55" s="6"/>
      <c r="J55" s="6"/>
      <c r="K55" s="6"/>
      <c r="L55" s="6"/>
      <c r="M55" s="6"/>
      <c r="N55" s="6"/>
      <c r="O55" s="191"/>
      <c r="P55" s="191"/>
      <c r="Q55" s="191"/>
      <c r="R55" s="191"/>
      <c r="S55" s="191"/>
      <c r="T55" s="191"/>
      <c r="W55" s="444"/>
    </row>
    <row r="56" spans="1:23" ht="17.25" customHeight="1">
      <c r="A56" s="402" t="s">
        <v>581</v>
      </c>
      <c r="B56" s="402"/>
      <c r="C56" s="402"/>
      <c r="D56" s="402"/>
      <c r="E56" s="402"/>
      <c r="F56" s="402"/>
      <c r="G56" s="402"/>
      <c r="H56" s="6"/>
      <c r="I56" s="6"/>
      <c r="J56" s="6"/>
      <c r="K56" s="6"/>
      <c r="L56" s="6"/>
      <c r="M56" s="6"/>
      <c r="N56" s="6"/>
      <c r="O56" s="191"/>
      <c r="P56" s="191"/>
      <c r="Q56" s="191"/>
      <c r="R56" s="191"/>
      <c r="S56" s="191"/>
      <c r="T56" s="191"/>
      <c r="W56" s="444"/>
    </row>
    <row r="57" spans="1:23" ht="17.25" customHeight="1">
      <c r="A57" s="402"/>
      <c r="B57" s="402"/>
      <c r="C57" s="402"/>
      <c r="D57" s="402"/>
      <c r="E57" s="402"/>
      <c r="F57" s="402"/>
      <c r="G57" s="402"/>
      <c r="H57" s="6"/>
      <c r="I57" s="6"/>
      <c r="J57" s="6"/>
      <c r="K57" s="6"/>
      <c r="L57" s="6"/>
      <c r="M57" s="6"/>
      <c r="N57" s="6"/>
      <c r="O57" s="191"/>
      <c r="P57" s="191"/>
      <c r="Q57" s="191"/>
      <c r="R57" s="191"/>
      <c r="S57" s="191"/>
      <c r="T57" s="191"/>
      <c r="W57" s="444"/>
    </row>
    <row r="58" spans="1:23" ht="17.25" customHeight="1">
      <c r="A58" s="62"/>
      <c r="B58" s="63" t="s">
        <v>479</v>
      </c>
      <c r="C58" s="64" t="s">
        <v>582</v>
      </c>
      <c r="D58" s="65"/>
      <c r="E58" s="60"/>
      <c r="F58" s="60"/>
      <c r="G58" s="61"/>
      <c r="H58" s="6"/>
      <c r="I58" s="6"/>
      <c r="J58" s="6"/>
      <c r="K58" s="6"/>
      <c r="L58" s="6"/>
      <c r="M58" s="6"/>
      <c r="N58" s="6"/>
      <c r="O58" s="191"/>
      <c r="P58" s="191"/>
      <c r="Q58" s="191"/>
      <c r="R58" s="191"/>
      <c r="S58" s="191"/>
      <c r="T58" s="191"/>
      <c r="W58" s="444"/>
    </row>
    <row r="59" spans="1:23" ht="17.25" customHeight="1">
      <c r="A59" s="62"/>
      <c r="B59" s="65"/>
      <c r="C59" s="64" t="s">
        <v>480</v>
      </c>
      <c r="D59" s="65"/>
      <c r="E59" s="60"/>
      <c r="F59" s="60"/>
      <c r="G59" s="61"/>
      <c r="H59" s="6"/>
      <c r="I59" s="6"/>
      <c r="J59" s="6"/>
      <c r="K59" s="6"/>
      <c r="L59" s="6"/>
      <c r="M59" s="6"/>
      <c r="N59" s="6"/>
      <c r="O59" s="191"/>
      <c r="P59" s="191"/>
      <c r="Q59" s="191"/>
      <c r="R59" s="191"/>
      <c r="S59" s="191"/>
      <c r="T59" s="191"/>
      <c r="W59" s="444"/>
    </row>
    <row r="60" spans="1:23" ht="17.25" customHeight="1">
      <c r="A60" s="62"/>
      <c r="B60" s="65"/>
      <c r="C60" s="64" t="s">
        <v>482</v>
      </c>
      <c r="D60" s="65"/>
      <c r="E60" s="60"/>
      <c r="F60" s="60"/>
      <c r="G60" s="61"/>
      <c r="H60" s="6"/>
      <c r="I60" s="6"/>
      <c r="J60" s="6"/>
      <c r="K60" s="6"/>
      <c r="L60" s="6"/>
      <c r="M60" s="6"/>
      <c r="N60" s="6"/>
      <c r="O60" s="191"/>
      <c r="P60" s="191"/>
      <c r="Q60" s="191"/>
      <c r="R60" s="191"/>
      <c r="S60" s="191"/>
      <c r="T60" s="191"/>
      <c r="W60" s="444"/>
    </row>
    <row r="61" spans="1:23" ht="17.25" customHeight="1">
      <c r="A61" s="62"/>
      <c r="B61" s="65"/>
      <c r="C61" s="64" t="s">
        <v>481</v>
      </c>
      <c r="D61" s="65"/>
      <c r="E61" s="60"/>
      <c r="F61" s="60"/>
      <c r="G61" s="61"/>
      <c r="H61" s="6"/>
      <c r="I61" s="6"/>
      <c r="J61" s="6"/>
      <c r="K61" s="6"/>
      <c r="L61" s="6"/>
      <c r="M61" s="6"/>
      <c r="N61" s="6"/>
      <c r="O61" s="191"/>
      <c r="P61" s="191"/>
      <c r="Q61" s="191"/>
      <c r="R61" s="191"/>
      <c r="S61" s="191"/>
      <c r="T61" s="191"/>
      <c r="W61" s="444"/>
    </row>
    <row r="62" spans="1:23" ht="12" customHeight="1">
      <c r="A62" s="62"/>
      <c r="B62" s="65"/>
      <c r="C62" s="64"/>
      <c r="D62" s="65"/>
      <c r="E62" s="60"/>
      <c r="F62" s="60"/>
      <c r="G62" s="61"/>
      <c r="H62" s="6"/>
      <c r="I62" s="6"/>
      <c r="J62" s="6"/>
      <c r="K62" s="6"/>
      <c r="L62" s="6"/>
      <c r="M62" s="6"/>
      <c r="N62" s="6"/>
      <c r="O62" s="191"/>
      <c r="P62" s="191"/>
      <c r="Q62" s="191"/>
      <c r="R62" s="191"/>
      <c r="S62" s="191"/>
      <c r="T62" s="191"/>
      <c r="W62" s="444"/>
    </row>
    <row r="63" spans="1:23" ht="17.25" customHeight="1">
      <c r="A63" s="66" t="s">
        <v>534</v>
      </c>
      <c r="B63" s="65"/>
      <c r="C63" s="64"/>
      <c r="D63" s="65"/>
      <c r="E63" s="60"/>
      <c r="F63" s="316" t="s">
        <v>511</v>
      </c>
      <c r="G63" s="210"/>
      <c r="H63" s="6"/>
      <c r="I63" s="6"/>
      <c r="J63" s="6"/>
      <c r="K63" s="6"/>
      <c r="L63" s="6"/>
      <c r="M63" s="6"/>
      <c r="N63" s="6"/>
      <c r="O63" s="191"/>
      <c r="P63" s="191"/>
      <c r="Q63" s="191"/>
      <c r="R63" s="191"/>
      <c r="S63" s="191"/>
      <c r="T63" s="191"/>
      <c r="W63" s="444"/>
    </row>
    <row r="64" spans="1:23" ht="12" customHeight="1">
      <c r="A64" s="66"/>
      <c r="B64" s="65"/>
      <c r="C64" s="64"/>
      <c r="D64" s="65"/>
      <c r="E64" s="60"/>
      <c r="F64" s="60"/>
      <c r="G64" s="61"/>
      <c r="H64" s="6"/>
      <c r="I64" s="6"/>
      <c r="J64" s="6"/>
      <c r="K64" s="6"/>
      <c r="L64" s="6"/>
      <c r="M64" s="6"/>
      <c r="N64" s="6"/>
      <c r="O64" s="191"/>
      <c r="P64" s="191"/>
      <c r="Q64" s="191"/>
      <c r="R64" s="191"/>
      <c r="S64" s="191"/>
      <c r="T64" s="191"/>
      <c r="W64" s="444"/>
    </row>
    <row r="65" spans="1:23" ht="18" customHeight="1">
      <c r="A65" s="417" t="s">
        <v>579</v>
      </c>
      <c r="B65" s="435" t="s">
        <v>12</v>
      </c>
      <c r="C65" s="435"/>
      <c r="D65" s="435" t="s">
        <v>13</v>
      </c>
      <c r="E65" s="435"/>
      <c r="F65" s="20"/>
      <c r="G65" s="67"/>
      <c r="H65" s="6"/>
      <c r="I65" s="6"/>
      <c r="J65" s="6"/>
      <c r="K65" s="6"/>
      <c r="L65" s="6"/>
      <c r="M65" s="6"/>
      <c r="N65" s="6"/>
      <c r="O65" s="191"/>
      <c r="P65" s="191"/>
      <c r="Q65" s="191"/>
      <c r="R65" s="191"/>
      <c r="S65" s="191"/>
      <c r="T65" s="191"/>
      <c r="W65" s="444"/>
    </row>
    <row r="66" spans="1:23" ht="18" customHeight="1">
      <c r="A66" s="418"/>
      <c r="B66" s="68" t="s">
        <v>477</v>
      </c>
      <c r="C66" s="68" t="s">
        <v>607</v>
      </c>
      <c r="D66" s="68" t="s">
        <v>478</v>
      </c>
      <c r="E66" s="68" t="s">
        <v>608</v>
      </c>
      <c r="F66" s="67"/>
      <c r="G66" s="69"/>
      <c r="H66" s="6"/>
      <c r="I66" s="6"/>
      <c r="J66" s="6"/>
      <c r="K66" s="6"/>
      <c r="L66" s="6"/>
      <c r="M66" s="6"/>
      <c r="N66" s="6"/>
      <c r="O66" s="191"/>
      <c r="P66" s="191"/>
      <c r="Q66" s="194"/>
      <c r="R66" s="191"/>
      <c r="S66" s="191"/>
      <c r="T66" s="191"/>
      <c r="W66" s="444"/>
    </row>
    <row r="67" spans="1:23">
      <c r="A67" s="70">
        <v>1</v>
      </c>
      <c r="B67" s="275"/>
      <c r="C67" s="232"/>
      <c r="D67" s="232"/>
      <c r="E67" s="276"/>
      <c r="F67" s="67"/>
      <c r="G67"/>
      <c r="H67" s="6"/>
      <c r="I67" s="6"/>
      <c r="J67" s="6"/>
      <c r="K67" s="6"/>
      <c r="L67" s="6"/>
      <c r="M67" s="6"/>
      <c r="N67" s="6"/>
      <c r="O67" s="191"/>
      <c r="P67" s="191"/>
      <c r="Q67" s="191"/>
      <c r="R67" s="191"/>
      <c r="S67" s="191"/>
      <c r="T67" s="191"/>
      <c r="W67" s="444"/>
    </row>
    <row r="68" spans="1:23">
      <c r="A68" s="71">
        <v>2</v>
      </c>
      <c r="B68" s="277"/>
      <c r="C68" s="233"/>
      <c r="D68" s="233"/>
      <c r="E68" s="278"/>
      <c r="F68" s="67"/>
      <c r="G68" s="67"/>
      <c r="H68" s="6"/>
      <c r="I68" s="6"/>
      <c r="J68" s="6"/>
      <c r="K68" s="6"/>
      <c r="L68" s="6"/>
      <c r="M68" s="6"/>
      <c r="N68" s="6"/>
      <c r="O68" s="191"/>
      <c r="P68" s="191"/>
      <c r="Q68" s="191"/>
      <c r="R68" s="191"/>
      <c r="S68" s="191"/>
      <c r="T68" s="191"/>
      <c r="W68" s="444"/>
    </row>
    <row r="69" spans="1:23">
      <c r="A69" s="71">
        <v>3</v>
      </c>
      <c r="B69" s="277"/>
      <c r="C69" s="233"/>
      <c r="D69" s="233"/>
      <c r="E69" s="278"/>
      <c r="F69" s="67"/>
      <c r="G69" s="67"/>
      <c r="H69" s="6"/>
      <c r="I69" s="6"/>
      <c r="J69" s="6"/>
      <c r="K69" s="6"/>
      <c r="L69" s="6"/>
      <c r="M69" s="6"/>
      <c r="N69" s="6"/>
      <c r="O69" s="191"/>
      <c r="P69" s="191"/>
      <c r="Q69" s="191"/>
      <c r="R69" s="191"/>
      <c r="S69" s="191"/>
      <c r="T69" s="191"/>
      <c r="W69" s="444"/>
    </row>
    <row r="70" spans="1:23">
      <c r="A70" s="71">
        <v>4</v>
      </c>
      <c r="B70" s="277"/>
      <c r="C70" s="233"/>
      <c r="D70" s="233"/>
      <c r="E70" s="278"/>
      <c r="F70" s="67"/>
      <c r="G70" s="67"/>
      <c r="H70" s="6"/>
      <c r="I70" s="6"/>
      <c r="J70" s="6"/>
      <c r="K70" s="6"/>
      <c r="L70" s="6"/>
      <c r="M70" s="6"/>
      <c r="N70" s="6"/>
      <c r="O70" s="191"/>
      <c r="P70" s="191"/>
      <c r="Q70" s="191"/>
      <c r="R70" s="191"/>
      <c r="S70" s="191"/>
      <c r="T70" s="191"/>
      <c r="W70" s="444"/>
    </row>
    <row r="71" spans="1:23">
      <c r="A71" s="71">
        <v>5</v>
      </c>
      <c r="B71" s="277"/>
      <c r="C71" s="233"/>
      <c r="D71" s="233"/>
      <c r="E71" s="278"/>
      <c r="F71" s="67"/>
      <c r="G71" s="67"/>
      <c r="H71" s="6"/>
      <c r="I71" s="6"/>
      <c r="J71" s="6"/>
      <c r="K71" s="6"/>
      <c r="L71" s="6"/>
      <c r="M71" s="6"/>
      <c r="N71" s="6"/>
      <c r="O71" s="191"/>
      <c r="P71" s="191"/>
      <c r="Q71" s="191"/>
      <c r="R71" s="191"/>
      <c r="S71" s="191"/>
      <c r="T71" s="191"/>
      <c r="W71" s="444"/>
    </row>
    <row r="72" spans="1:23">
      <c r="A72" s="71">
        <v>6</v>
      </c>
      <c r="B72" s="277"/>
      <c r="C72" s="233"/>
      <c r="D72" s="233"/>
      <c r="E72" s="278"/>
      <c r="F72" s="72"/>
      <c r="G72" s="67"/>
      <c r="H72" s="6"/>
      <c r="I72" s="6"/>
      <c r="J72" s="6"/>
      <c r="K72" s="6"/>
      <c r="L72" s="6"/>
      <c r="M72" s="6"/>
      <c r="N72" s="6"/>
      <c r="O72" s="191"/>
      <c r="P72" s="191"/>
      <c r="Q72" s="191"/>
      <c r="R72" s="191"/>
      <c r="S72" s="191"/>
      <c r="T72" s="191"/>
      <c r="W72" s="444"/>
    </row>
    <row r="73" spans="1:23">
      <c r="A73" s="71">
        <v>7</v>
      </c>
      <c r="B73" s="277"/>
      <c r="C73" s="233"/>
      <c r="D73" s="233"/>
      <c r="E73" s="278"/>
      <c r="F73" s="67"/>
      <c r="G73" s="67"/>
      <c r="H73" s="6"/>
      <c r="I73" s="6"/>
      <c r="J73" s="6"/>
      <c r="K73" s="6"/>
      <c r="L73" s="6"/>
      <c r="M73" s="6"/>
      <c r="N73" s="6"/>
      <c r="O73" s="191"/>
      <c r="P73" s="191"/>
      <c r="Q73" s="191"/>
      <c r="R73" s="191"/>
      <c r="S73" s="191"/>
      <c r="T73" s="191"/>
      <c r="W73" s="444"/>
    </row>
    <row r="74" spans="1:23">
      <c r="A74" s="71">
        <v>8</v>
      </c>
      <c r="B74" s="277"/>
      <c r="C74" s="233"/>
      <c r="D74" s="233"/>
      <c r="E74" s="278"/>
      <c r="F74" s="67"/>
      <c r="G74" s="67"/>
      <c r="H74" s="6"/>
      <c r="I74" s="6"/>
      <c r="J74" s="6"/>
      <c r="K74" s="6"/>
      <c r="L74" s="6"/>
      <c r="M74" s="6"/>
      <c r="N74" s="6"/>
      <c r="O74" s="191"/>
      <c r="P74" s="191"/>
      <c r="Q74" s="191"/>
      <c r="R74" s="191"/>
      <c r="S74" s="191"/>
      <c r="T74" s="191"/>
      <c r="W74" s="444"/>
    </row>
    <row r="75" spans="1:23">
      <c r="A75" s="71">
        <v>9</v>
      </c>
      <c r="B75" s="277"/>
      <c r="C75" s="233"/>
      <c r="D75" s="233"/>
      <c r="E75" s="278"/>
      <c r="F75" s="67"/>
      <c r="G75" s="67"/>
      <c r="H75" s="6"/>
      <c r="I75" s="6"/>
      <c r="J75" s="6"/>
      <c r="K75" s="6"/>
      <c r="L75" s="6"/>
      <c r="M75" s="6"/>
      <c r="N75" s="6"/>
      <c r="O75" s="191"/>
      <c r="P75" s="191"/>
      <c r="Q75" s="191"/>
      <c r="R75" s="191"/>
      <c r="S75" s="191"/>
      <c r="T75" s="191"/>
      <c r="W75" s="444"/>
    </row>
    <row r="76" spans="1:23">
      <c r="A76" s="71">
        <v>10</v>
      </c>
      <c r="B76" s="277"/>
      <c r="C76" s="233"/>
      <c r="D76" s="233"/>
      <c r="E76" s="278"/>
      <c r="F76" s="67"/>
      <c r="G76" s="67"/>
      <c r="H76" s="6"/>
      <c r="I76" s="6"/>
      <c r="J76" s="6"/>
      <c r="K76" s="6"/>
      <c r="L76" s="6"/>
      <c r="M76" s="6"/>
      <c r="N76" s="6"/>
      <c r="O76" s="191"/>
      <c r="P76" s="191"/>
      <c r="Q76" s="191"/>
      <c r="R76" s="191"/>
      <c r="S76" s="191"/>
      <c r="T76" s="191"/>
      <c r="W76" s="444"/>
    </row>
    <row r="77" spans="1:23">
      <c r="A77" s="71">
        <v>11</v>
      </c>
      <c r="B77" s="277"/>
      <c r="C77" s="233"/>
      <c r="D77" s="233"/>
      <c r="E77" s="278"/>
      <c r="F77" s="67"/>
      <c r="G77" s="67"/>
      <c r="H77" s="6"/>
      <c r="I77" s="6"/>
      <c r="J77" s="6"/>
      <c r="K77" s="6"/>
      <c r="L77" s="6"/>
      <c r="M77" s="6"/>
      <c r="N77" s="6"/>
      <c r="O77" s="191"/>
      <c r="P77" s="191"/>
      <c r="Q77" s="191"/>
      <c r="R77" s="191"/>
      <c r="S77" s="191"/>
      <c r="T77" s="191"/>
      <c r="W77" s="444"/>
    </row>
    <row r="78" spans="1:23">
      <c r="A78" s="71">
        <v>12</v>
      </c>
      <c r="B78" s="277"/>
      <c r="C78" s="233"/>
      <c r="D78" s="233"/>
      <c r="E78" s="278"/>
      <c r="F78" s="67"/>
      <c r="G78" s="67"/>
      <c r="H78" s="6"/>
      <c r="I78" s="6"/>
      <c r="J78" s="6"/>
      <c r="K78" s="6"/>
      <c r="L78" s="6"/>
      <c r="M78" s="6"/>
      <c r="N78" s="6"/>
      <c r="O78" s="191"/>
      <c r="P78" s="191"/>
      <c r="Q78" s="191"/>
      <c r="R78" s="191"/>
      <c r="S78" s="191"/>
      <c r="T78" s="191"/>
      <c r="W78" s="444"/>
    </row>
    <row r="79" spans="1:23">
      <c r="A79" s="71">
        <v>13</v>
      </c>
      <c r="B79" s="277"/>
      <c r="C79" s="233"/>
      <c r="D79" s="233"/>
      <c r="E79" s="278"/>
      <c r="F79" s="67"/>
      <c r="G79" s="67"/>
      <c r="H79" s="6"/>
      <c r="I79" s="6"/>
      <c r="J79" s="6"/>
      <c r="K79" s="6"/>
      <c r="L79" s="6"/>
      <c r="M79" s="6"/>
      <c r="N79" s="6"/>
      <c r="O79" s="191"/>
      <c r="P79" s="191"/>
      <c r="Q79" s="191"/>
      <c r="R79" s="191"/>
      <c r="S79" s="191"/>
      <c r="T79" s="191"/>
      <c r="W79" s="444"/>
    </row>
    <row r="80" spans="1:23">
      <c r="A80" s="71">
        <v>14</v>
      </c>
      <c r="B80" s="277"/>
      <c r="C80" s="233"/>
      <c r="D80" s="233"/>
      <c r="E80" s="278"/>
      <c r="F80" s="67"/>
      <c r="G80" s="67"/>
      <c r="H80" s="6"/>
      <c r="I80" s="6"/>
      <c r="J80" s="6"/>
      <c r="K80" s="6"/>
      <c r="L80" s="6"/>
      <c r="M80" s="6"/>
      <c r="N80" s="6"/>
      <c r="O80" s="191"/>
      <c r="P80" s="191"/>
      <c r="Q80" s="191"/>
      <c r="R80" s="191"/>
      <c r="S80" s="191"/>
      <c r="T80" s="191"/>
      <c r="W80" s="444"/>
    </row>
    <row r="81" spans="1:23">
      <c r="A81" s="71">
        <v>15</v>
      </c>
      <c r="B81" s="277"/>
      <c r="C81" s="233"/>
      <c r="D81" s="233"/>
      <c r="E81" s="278"/>
      <c r="F81" s="67"/>
      <c r="G81" s="67"/>
      <c r="H81" s="6"/>
      <c r="I81" s="6"/>
      <c r="J81" s="6"/>
      <c r="K81" s="6"/>
      <c r="L81" s="6"/>
      <c r="M81" s="6"/>
      <c r="N81" s="6"/>
      <c r="O81" s="191"/>
      <c r="P81" s="191"/>
      <c r="Q81" s="191"/>
      <c r="R81" s="191"/>
      <c r="S81" s="191"/>
      <c r="T81" s="191"/>
      <c r="W81" s="444"/>
    </row>
    <row r="82" spans="1:23">
      <c r="A82" s="71">
        <v>16</v>
      </c>
      <c r="B82" s="277"/>
      <c r="C82" s="233"/>
      <c r="D82" s="233"/>
      <c r="E82" s="278"/>
      <c r="F82" s="67"/>
      <c r="G82" s="67"/>
      <c r="H82" s="6"/>
      <c r="I82" s="6"/>
      <c r="J82" s="6"/>
      <c r="K82" s="6"/>
      <c r="L82" s="6"/>
      <c r="M82" s="6"/>
      <c r="N82" s="6"/>
      <c r="O82" s="191"/>
      <c r="P82" s="191"/>
      <c r="Q82" s="191"/>
      <c r="R82" s="191"/>
      <c r="S82" s="191"/>
      <c r="T82" s="191"/>
      <c r="W82" s="444"/>
    </row>
    <row r="83" spans="1:23">
      <c r="A83" s="71">
        <v>17</v>
      </c>
      <c r="B83" s="277"/>
      <c r="C83" s="233"/>
      <c r="D83" s="233"/>
      <c r="E83" s="278"/>
      <c r="F83" s="67"/>
      <c r="G83" s="67"/>
      <c r="H83" s="6"/>
      <c r="I83" s="6"/>
      <c r="J83" s="6"/>
      <c r="K83" s="6"/>
      <c r="L83" s="6"/>
      <c r="M83" s="6"/>
      <c r="N83" s="6"/>
      <c r="O83" s="191"/>
      <c r="P83" s="191"/>
      <c r="Q83" s="191"/>
      <c r="R83" s="191"/>
      <c r="S83" s="191"/>
      <c r="T83" s="191"/>
      <c r="W83" s="444"/>
    </row>
    <row r="84" spans="1:23">
      <c r="A84" s="71">
        <v>18</v>
      </c>
      <c r="B84" s="277"/>
      <c r="C84" s="233"/>
      <c r="D84" s="233"/>
      <c r="E84" s="278"/>
      <c r="F84" s="67"/>
      <c r="G84" s="67"/>
      <c r="H84" s="6"/>
      <c r="I84" s="6"/>
      <c r="J84" s="6"/>
      <c r="K84" s="6"/>
      <c r="L84" s="6"/>
      <c r="M84" s="6"/>
      <c r="N84" s="6"/>
      <c r="O84" s="191"/>
      <c r="P84" s="191"/>
      <c r="Q84" s="191"/>
      <c r="R84" s="191"/>
      <c r="S84" s="191"/>
      <c r="T84" s="191"/>
      <c r="W84" s="444"/>
    </row>
    <row r="85" spans="1:23">
      <c r="A85" s="71">
        <v>19</v>
      </c>
      <c r="B85" s="277"/>
      <c r="C85" s="233"/>
      <c r="D85" s="233"/>
      <c r="E85" s="278"/>
      <c r="F85" s="67"/>
      <c r="G85" s="67"/>
      <c r="H85" s="6"/>
      <c r="I85" s="6"/>
      <c r="J85" s="6"/>
      <c r="K85" s="6"/>
      <c r="L85" s="6"/>
      <c r="M85" s="6"/>
      <c r="N85" s="6"/>
      <c r="O85" s="191"/>
      <c r="P85" s="191"/>
      <c r="Q85" s="191"/>
      <c r="R85" s="191"/>
      <c r="S85" s="191"/>
      <c r="T85" s="191"/>
      <c r="W85" s="444"/>
    </row>
    <row r="86" spans="1:23">
      <c r="A86" s="73">
        <v>20</v>
      </c>
      <c r="B86" s="279"/>
      <c r="C86" s="280"/>
      <c r="D86" s="280"/>
      <c r="E86" s="281"/>
      <c r="F86" s="67"/>
      <c r="G86" s="67"/>
      <c r="H86" s="6"/>
      <c r="I86" s="6"/>
      <c r="J86" s="6"/>
      <c r="K86" s="6"/>
      <c r="L86" s="6"/>
      <c r="M86" s="6"/>
      <c r="N86" s="6"/>
      <c r="O86" s="191"/>
      <c r="P86" s="191"/>
      <c r="Q86" s="191"/>
      <c r="R86" s="191"/>
      <c r="S86" s="191"/>
      <c r="T86" s="191"/>
      <c r="W86" s="444"/>
    </row>
    <row r="87" spans="1:23" s="196" customFormat="1" ht="18" customHeight="1">
      <c r="A87" s="250" t="s">
        <v>2</v>
      </c>
      <c r="B87" s="282" t="str">
        <f>IF(OR(SUM(C67:C86)=0,SUM(B67:B86)=0),"-",SUM(B67:B86))</f>
        <v>-</v>
      </c>
      <c r="C87" s="283" t="str">
        <f>IF(OR(SUM(B67:B86)=0,SUM(C67:C86)=0),"-",SUM(C67:C86))</f>
        <v>-</v>
      </c>
      <c r="D87" s="283" t="str">
        <f>IF(OR(SUM(E67:E86)=0,SUM(D67:D86)=0),"-",SUM(D67:D86))</f>
        <v>-</v>
      </c>
      <c r="E87" s="284" t="str">
        <f>IF(OR(SUM(D67:D86)=0,SUM(E67:E86)=0),"-",SUM(E67:E86))</f>
        <v>-</v>
      </c>
      <c r="F87" s="74"/>
      <c r="G87" s="41"/>
      <c r="H87" s="9"/>
      <c r="I87" s="9"/>
      <c r="J87" s="9"/>
      <c r="K87" s="9"/>
      <c r="L87" s="9"/>
      <c r="M87" s="9"/>
      <c r="N87" s="9"/>
      <c r="O87" s="195"/>
      <c r="P87" s="195"/>
      <c r="Q87" s="195"/>
      <c r="R87" s="195"/>
      <c r="S87" s="195"/>
      <c r="T87" s="195"/>
      <c r="W87" s="444"/>
    </row>
    <row r="88" spans="1:23" s="196" customFormat="1" ht="18" customHeight="1">
      <c r="A88" s="452" t="s">
        <v>577</v>
      </c>
      <c r="B88" s="453"/>
      <c r="C88" s="421">
        <v>10</v>
      </c>
      <c r="D88" s="421"/>
      <c r="E88" s="421"/>
      <c r="F88" s="358" t="str">
        <f>IF(AND(C88&lt;&gt;"",C88&lt;10), "Mise en garde : des intervalles &lt; 10 m peuvent donner des résultats non représentatifs.","")</f>
        <v/>
      </c>
      <c r="G88" s="358"/>
      <c r="H88" s="9"/>
      <c r="I88" s="9"/>
      <c r="J88" s="9"/>
      <c r="K88" s="9"/>
      <c r="L88" s="9"/>
      <c r="M88" s="9"/>
      <c r="N88" s="9"/>
      <c r="O88" s="195"/>
      <c r="P88" s="195"/>
      <c r="Q88" s="195"/>
      <c r="R88" s="195"/>
      <c r="S88" s="195"/>
      <c r="T88" s="195"/>
      <c r="W88" s="444"/>
    </row>
    <row r="89" spans="1:23" s="198" customFormat="1" ht="18" customHeight="1">
      <c r="A89" s="454" t="s">
        <v>491</v>
      </c>
      <c r="B89" s="454"/>
      <c r="C89" s="401" t="str" cm="1">
        <f t="array" ref="C89">IF(OR(C88="",(somme_lh+somme_lv)=0), "-",100*(somme_nv+somme_nh)*C88/(somme_lv+somme_lh))</f>
        <v>-</v>
      </c>
      <c r="D89" s="401"/>
      <c r="E89" s="401"/>
      <c r="F89" s="358"/>
      <c r="G89" s="358"/>
      <c r="H89" s="10"/>
      <c r="I89" s="11"/>
      <c r="J89" s="11"/>
      <c r="K89" s="11"/>
      <c r="L89" s="11"/>
      <c r="M89" s="11"/>
      <c r="N89" s="11"/>
      <c r="O89" s="197"/>
      <c r="P89" s="197"/>
      <c r="Q89" s="197"/>
      <c r="R89" s="197"/>
      <c r="S89" s="197"/>
      <c r="T89" s="197"/>
      <c r="W89" s="444"/>
    </row>
    <row r="90" spans="1:23">
      <c r="A90" s="75"/>
      <c r="B90" s="75"/>
      <c r="C90" s="76"/>
      <c r="D90" s="67"/>
      <c r="E90" s="67"/>
      <c r="F90" s="67"/>
      <c r="G90" s="77"/>
      <c r="H90" s="12"/>
      <c r="I90" s="6"/>
      <c r="J90" s="6"/>
      <c r="K90" s="6"/>
      <c r="L90" s="6"/>
      <c r="M90" s="6"/>
      <c r="N90" s="6"/>
      <c r="O90" s="191"/>
      <c r="P90" s="191"/>
      <c r="Q90" s="191"/>
      <c r="R90" s="191"/>
      <c r="S90" s="191"/>
      <c r="T90" s="191"/>
      <c r="W90" s="444"/>
    </row>
    <row r="91" spans="1:23" ht="25.5">
      <c r="A91" s="346" t="s">
        <v>535</v>
      </c>
      <c r="B91" s="346"/>
      <c r="C91" s="346"/>
      <c r="D91" s="346"/>
      <c r="E91" s="346"/>
      <c r="F91" s="346"/>
      <c r="G91" s="346"/>
      <c r="H91" s="12"/>
      <c r="I91" s="6"/>
      <c r="J91" s="6"/>
      <c r="K91" s="6"/>
      <c r="L91" s="6"/>
      <c r="M91" s="6"/>
      <c r="N91" s="6"/>
      <c r="O91" s="191"/>
      <c r="P91" s="191"/>
      <c r="Q91" s="191"/>
      <c r="R91" s="191"/>
      <c r="S91" s="191"/>
      <c r="T91" s="191"/>
      <c r="W91" s="444"/>
    </row>
    <row r="92" spans="1:23">
      <c r="A92" s="21"/>
      <c r="B92" s="21"/>
      <c r="C92" s="21"/>
      <c r="D92" s="21"/>
      <c r="E92" s="21"/>
      <c r="F92" s="21"/>
      <c r="G92" s="21"/>
      <c r="H92" s="12"/>
      <c r="I92" s="6"/>
      <c r="J92" s="6"/>
      <c r="K92" s="6"/>
      <c r="L92" s="6"/>
      <c r="M92" s="6"/>
      <c r="N92" s="6"/>
      <c r="O92" s="191"/>
      <c r="P92" s="191"/>
      <c r="Q92" s="191"/>
      <c r="R92" s="191"/>
      <c r="S92" s="191"/>
      <c r="T92" s="191"/>
      <c r="W92" s="444"/>
    </row>
    <row r="93" spans="1:23" ht="24.95" customHeight="1">
      <c r="A93" s="62" t="s">
        <v>536</v>
      </c>
      <c r="B93" s="62"/>
      <c r="C93" s="62"/>
      <c r="D93" s="62"/>
      <c r="E93" s="62"/>
      <c r="F93" s="62"/>
      <c r="G93" s="236" t="s">
        <v>440</v>
      </c>
      <c r="H93" s="12"/>
      <c r="I93" s="6"/>
      <c r="J93" s="6"/>
      <c r="K93" s="6"/>
      <c r="L93" s="6"/>
      <c r="M93" s="6"/>
      <c r="N93" s="6"/>
      <c r="O93" s="191"/>
      <c r="P93" s="191"/>
      <c r="Q93" s="191"/>
      <c r="R93" s="191"/>
      <c r="S93" s="191"/>
      <c r="T93" s="191"/>
      <c r="W93" s="444"/>
    </row>
    <row r="94" spans="1:23" ht="15" customHeight="1">
      <c r="A94" s="62"/>
      <c r="B94" s="62"/>
      <c r="C94" s="62"/>
      <c r="D94" s="62"/>
      <c r="E94" s="62"/>
      <c r="F94" s="62"/>
      <c r="G94" s="78"/>
      <c r="H94" s="12"/>
      <c r="I94" s="6"/>
      <c r="J94" s="6"/>
      <c r="K94" s="6"/>
      <c r="L94" s="6"/>
      <c r="M94" s="6"/>
      <c r="N94" s="6"/>
      <c r="O94" s="191"/>
      <c r="P94" s="191"/>
      <c r="Q94" s="191"/>
      <c r="R94" s="191"/>
      <c r="S94" s="191"/>
      <c r="T94" s="191"/>
      <c r="W94" s="444"/>
    </row>
    <row r="95" spans="1:23" ht="24.95" customHeight="1">
      <c r="A95" s="51" t="s">
        <v>663</v>
      </c>
      <c r="B95" s="62"/>
      <c r="C95" s="62"/>
      <c r="D95" s="62"/>
      <c r="E95" s="62"/>
      <c r="F95" s="62"/>
      <c r="G95" s="78"/>
      <c r="H95" s="438" t="s">
        <v>590</v>
      </c>
      <c r="I95" s="438"/>
      <c r="J95" s="438"/>
      <c r="K95" s="438"/>
      <c r="L95" s="438"/>
      <c r="M95" s="438"/>
      <c r="N95" s="438"/>
      <c r="O95" s="191"/>
      <c r="P95" s="191"/>
      <c r="Q95" s="191"/>
      <c r="R95" s="191"/>
      <c r="S95" s="191"/>
      <c r="T95" s="191"/>
    </row>
    <row r="96" spans="1:23" s="193" customFormat="1" ht="15" customHeight="1">
      <c r="A96" s="53"/>
      <c r="B96" s="325" t="s">
        <v>666</v>
      </c>
      <c r="C96" s="325"/>
      <c r="D96" s="325"/>
      <c r="E96" s="325"/>
      <c r="F96" s="79"/>
      <c r="G96" s="80"/>
      <c r="H96" s="13"/>
      <c r="I96" s="8"/>
      <c r="J96" s="8"/>
      <c r="K96" s="8"/>
      <c r="L96" s="8"/>
      <c r="M96" s="8"/>
      <c r="N96" s="8"/>
      <c r="O96" s="192"/>
      <c r="P96" s="192"/>
      <c r="Q96" s="192"/>
      <c r="R96" s="192"/>
      <c r="S96" s="192"/>
      <c r="T96" s="192"/>
      <c r="W96" s="445"/>
    </row>
    <row r="97" spans="1:23" s="193" customFormat="1" ht="15" customHeight="1">
      <c r="A97" s="53"/>
      <c r="B97" s="325" t="s">
        <v>664</v>
      </c>
      <c r="C97" s="325"/>
      <c r="D97" s="325"/>
      <c r="E97" s="325"/>
      <c r="F97" s="325"/>
      <c r="G97" s="325"/>
      <c r="H97" s="13"/>
      <c r="I97" s="8"/>
      <c r="J97" s="8"/>
      <c r="K97" s="8"/>
      <c r="L97" s="8"/>
      <c r="M97" s="8"/>
      <c r="N97" s="8"/>
      <c r="O97" s="192"/>
      <c r="P97" s="192"/>
      <c r="Q97" s="192"/>
      <c r="R97" s="192"/>
      <c r="S97" s="192"/>
      <c r="T97" s="192"/>
      <c r="W97" s="445"/>
    </row>
    <row r="98" spans="1:23" s="193" customFormat="1" ht="15" customHeight="1" thickBot="1">
      <c r="A98" s="53"/>
      <c r="B98" s="325" t="s">
        <v>665</v>
      </c>
      <c r="C98" s="325"/>
      <c r="D98" s="325"/>
      <c r="E98" s="325"/>
      <c r="F98" s="81"/>
      <c r="G98" s="82"/>
      <c r="H98" s="13"/>
      <c r="I98" s="8"/>
      <c r="J98" s="8"/>
      <c r="K98" s="8"/>
      <c r="L98" s="8"/>
      <c r="M98" s="8"/>
      <c r="N98" s="8"/>
      <c r="O98" s="192"/>
      <c r="P98" s="192"/>
      <c r="Q98" s="192"/>
      <c r="R98" s="192"/>
      <c r="S98" s="192"/>
      <c r="T98" s="192"/>
      <c r="W98" s="445"/>
    </row>
    <row r="99" spans="1:23" s="193" customFormat="1" ht="15" customHeight="1" thickTop="1" thickBot="1">
      <c r="A99" s="53"/>
      <c r="B99" s="313" t="s">
        <v>475</v>
      </c>
      <c r="C99" s="456"/>
      <c r="D99" s="456"/>
      <c r="E99" s="456"/>
      <c r="F99" s="456"/>
      <c r="G99" s="82"/>
      <c r="H99" s="13"/>
      <c r="I99" s="8" t="s">
        <v>602</v>
      </c>
      <c r="J99" s="8"/>
      <c r="K99" s="8"/>
      <c r="L99" s="8"/>
      <c r="M99" s="8"/>
      <c r="N99" s="8"/>
      <c r="O99" s="192"/>
      <c r="P99" s="192"/>
      <c r="Q99" s="192"/>
      <c r="R99" s="192"/>
      <c r="S99" s="192"/>
      <c r="T99" s="192"/>
      <c r="W99" s="445"/>
    </row>
    <row r="100" spans="1:23" ht="18" customHeight="1" thickTop="1" thickBot="1">
      <c r="A100" s="21"/>
      <c r="B100" s="58"/>
      <c r="C100" s="457"/>
      <c r="D100" s="457"/>
      <c r="E100" s="457"/>
      <c r="F100" s="457"/>
      <c r="G100" s="61"/>
      <c r="H100" s="12"/>
      <c r="I100" s="6"/>
      <c r="J100" s="6"/>
      <c r="K100" s="6"/>
      <c r="L100" s="6"/>
      <c r="M100" s="6"/>
      <c r="N100" s="6"/>
      <c r="O100" s="191"/>
      <c r="P100" s="191"/>
      <c r="Q100" s="191"/>
      <c r="R100" s="191"/>
      <c r="S100" s="191"/>
      <c r="T100" s="191"/>
      <c r="W100" s="445"/>
    </row>
    <row r="101" spans="1:23" ht="12.75" customHeight="1" thickTop="1">
      <c r="A101" s="83"/>
      <c r="B101" s="60"/>
      <c r="C101" s="60"/>
      <c r="D101" s="60"/>
      <c r="E101" s="60"/>
      <c r="F101" s="60"/>
      <c r="G101" s="61"/>
      <c r="H101" s="12"/>
      <c r="I101" s="6"/>
      <c r="J101" s="6"/>
      <c r="K101" s="6"/>
      <c r="L101" s="6"/>
      <c r="M101" s="6"/>
      <c r="N101" s="6"/>
      <c r="O101" s="191"/>
      <c r="P101" s="191"/>
      <c r="Q101" s="191"/>
      <c r="R101" s="191"/>
      <c r="S101" s="191"/>
      <c r="T101" s="191"/>
      <c r="W101" s="445"/>
    </row>
    <row r="102" spans="1:23" ht="18" customHeight="1" thickBot="1">
      <c r="A102" s="403" t="s">
        <v>610</v>
      </c>
      <c r="B102" s="403"/>
      <c r="C102" s="403"/>
      <c r="D102" s="84" t="str">
        <f>IF(C89="-","-",IF($C$89&lt;3,"&lt; 3%",IF(AND($C$89&gt;=3,C89&lt;=8),"3 à 8%",IF($C$89&gt;8,"&gt; 8%",""))))</f>
        <v>-</v>
      </c>
      <c r="E102" s="358" t="str">
        <f>IF(AND(D103&lt;&gt;D102,D103&lt;&gt;""),"Le choix de classe de pente diffère de ce qui a été calculé.","")</f>
        <v/>
      </c>
      <c r="F102" s="76"/>
      <c r="G102" s="85"/>
      <c r="H102" s="6"/>
      <c r="I102" s="6"/>
      <c r="J102" s="14"/>
      <c r="K102" s="6"/>
      <c r="L102" s="6"/>
      <c r="M102" s="6"/>
      <c r="N102" s="6"/>
      <c r="O102" s="191"/>
      <c r="P102" s="191"/>
      <c r="Q102" s="191"/>
      <c r="R102" s="191"/>
      <c r="S102" s="191"/>
      <c r="T102" s="191"/>
      <c r="W102" s="445"/>
    </row>
    <row r="103" spans="1:23" ht="18" customHeight="1" thickTop="1" thickBot="1">
      <c r="A103" s="361" t="s">
        <v>485</v>
      </c>
      <c r="B103" s="361"/>
      <c r="C103" s="361"/>
      <c r="D103" s="4"/>
      <c r="E103" s="358"/>
      <c r="F103" s="86"/>
      <c r="G103" s="85"/>
      <c r="H103" s="6"/>
      <c r="I103" s="6"/>
      <c r="J103" s="6"/>
      <c r="K103" s="6"/>
      <c r="L103" s="6"/>
      <c r="M103" s="6"/>
      <c r="N103" s="6"/>
      <c r="O103" s="191"/>
      <c r="P103" s="191"/>
      <c r="Q103" s="191"/>
      <c r="R103" s="191"/>
      <c r="S103" s="191"/>
      <c r="T103" s="191"/>
      <c r="W103" s="445"/>
    </row>
    <row r="104" spans="1:23" ht="18" customHeight="1" thickTop="1">
      <c r="A104" s="87"/>
      <c r="B104" s="87"/>
      <c r="C104" s="87"/>
      <c r="D104" s="88"/>
      <c r="E104" s="88"/>
      <c r="F104" s="86"/>
      <c r="G104" s="85"/>
      <c r="H104" s="6"/>
      <c r="I104" s="6"/>
      <c r="J104" s="6"/>
      <c r="K104" s="6"/>
      <c r="L104" s="6"/>
      <c r="M104" s="6"/>
      <c r="N104" s="6"/>
      <c r="O104" s="191"/>
      <c r="P104" s="191"/>
      <c r="Q104" s="191"/>
      <c r="R104" s="191"/>
      <c r="S104" s="191"/>
      <c r="T104" s="191"/>
      <c r="W104" s="445"/>
    </row>
    <row r="105" spans="1:23" ht="18" customHeight="1">
      <c r="A105" s="66" t="s">
        <v>537</v>
      </c>
      <c r="B105" s="87"/>
      <c r="C105" s="87"/>
      <c r="D105" s="88"/>
      <c r="E105" s="88"/>
      <c r="F105" s="316" t="s">
        <v>569</v>
      </c>
      <c r="G105" s="211"/>
      <c r="H105" s="6"/>
      <c r="I105" s="6"/>
      <c r="J105" s="6"/>
      <c r="K105" s="6"/>
      <c r="L105" s="6"/>
      <c r="M105" s="6"/>
      <c r="N105" s="6"/>
      <c r="O105" s="191"/>
      <c r="P105" s="191"/>
      <c r="Q105" s="191"/>
      <c r="R105" s="191"/>
      <c r="S105" s="191"/>
      <c r="T105" s="191"/>
      <c r="W105" s="445"/>
    </row>
    <row r="106" spans="1:23">
      <c r="A106" s="89"/>
      <c r="B106" s="89"/>
      <c r="C106" s="90"/>
      <c r="D106" s="90"/>
      <c r="E106" s="90"/>
      <c r="F106" s="90"/>
      <c r="G106" s="76"/>
      <c r="H106" s="6"/>
      <c r="I106" s="6"/>
      <c r="J106" s="6"/>
      <c r="K106" s="6"/>
      <c r="L106" s="6"/>
      <c r="M106" s="6"/>
      <c r="N106" s="6"/>
      <c r="O106" s="191"/>
      <c r="P106" s="191"/>
      <c r="Q106" s="191"/>
      <c r="R106" s="191"/>
      <c r="S106" s="191"/>
      <c r="T106" s="191"/>
      <c r="W106" s="445"/>
    </row>
    <row r="107" spans="1:23" ht="36" customHeight="1">
      <c r="A107" s="365" t="s">
        <v>14</v>
      </c>
      <c r="B107" s="365"/>
      <c r="C107" s="91" t="s">
        <v>488</v>
      </c>
      <c r="D107" s="91" t="s">
        <v>483</v>
      </c>
      <c r="E107" s="91" t="s">
        <v>484</v>
      </c>
      <c r="F107" s="91" t="s">
        <v>497</v>
      </c>
      <c r="G107" s="22"/>
      <c r="H107" s="6"/>
      <c r="I107" s="6"/>
      <c r="J107" s="6"/>
      <c r="K107" s="6"/>
      <c r="L107" s="6"/>
      <c r="M107" s="6"/>
      <c r="N107" s="6"/>
      <c r="O107" s="191"/>
      <c r="P107" s="191"/>
      <c r="Q107" s="191"/>
      <c r="R107" s="191"/>
      <c r="S107" s="191"/>
      <c r="T107" s="191"/>
      <c r="W107" s="445"/>
    </row>
    <row r="108" spans="1:23" ht="15" customHeight="1">
      <c r="A108" s="327" t="s">
        <v>6</v>
      </c>
      <c r="B108" s="327"/>
      <c r="C108" s="92" t="s">
        <v>5</v>
      </c>
      <c r="D108" s="3"/>
      <c r="E108" s="216" t="str" cm="1">
        <f t="array" ref="E108">IF($D$103="","-",SUMPRODUCT((Références!$B$7:$B$44=C108)*(Références!$C$7:$C$44=$D$103)*((Références!$D$7:$D$44=$A$108)*(Références!$E$7:$E$44))))</f>
        <v>-</v>
      </c>
      <c r="F108" s="93" t="str">
        <f>IF(OR(E108="-",E108="",D108=""),"-",E108*D108)</f>
        <v>-</v>
      </c>
      <c r="G108" s="67"/>
      <c r="H108" s="6"/>
      <c r="I108" s="6"/>
      <c r="J108" s="6"/>
      <c r="K108" s="6"/>
      <c r="L108" s="6"/>
      <c r="M108" s="6"/>
      <c r="N108" s="6"/>
      <c r="O108" s="191"/>
      <c r="P108" s="191"/>
      <c r="Q108" s="191"/>
      <c r="R108" s="191"/>
      <c r="S108" s="191"/>
      <c r="T108" s="191"/>
      <c r="W108" s="445"/>
    </row>
    <row r="109" spans="1:23" ht="15" customHeight="1">
      <c r="A109" s="371"/>
      <c r="B109" s="371"/>
      <c r="C109" s="92" t="s">
        <v>4</v>
      </c>
      <c r="D109" s="3"/>
      <c r="E109" s="216" t="str" cm="1">
        <f t="array" ref="E109">IF($D$103="","-",SUMPRODUCT((Références!$B$7:$B$44=C109)*(Références!$C$7:$C$44=$D$103)*((Références!$D$7:$D$44=$A$108)*(Références!$E$7:$E$44))))</f>
        <v>-</v>
      </c>
      <c r="F109" s="93" t="str">
        <f t="shared" ref="F109:F137" si="0">IF(OR(E109="-",E109="",D109=""),"-",E109*D109)</f>
        <v>-</v>
      </c>
      <c r="G109" s="67"/>
      <c r="H109" s="6"/>
      <c r="I109" s="6"/>
      <c r="J109" s="6"/>
      <c r="K109" s="6"/>
      <c r="L109" s="6"/>
      <c r="M109" s="6"/>
      <c r="N109" s="6"/>
      <c r="O109" s="191"/>
      <c r="P109" s="191"/>
      <c r="Q109" s="191"/>
      <c r="R109" s="191"/>
      <c r="S109" s="191"/>
      <c r="T109" s="191"/>
      <c r="W109" s="445"/>
    </row>
    <row r="110" spans="1:23" ht="15" customHeight="1">
      <c r="A110" s="408"/>
      <c r="B110" s="408"/>
      <c r="C110" s="92" t="s">
        <v>3</v>
      </c>
      <c r="D110" s="3"/>
      <c r="E110" s="216" t="str" cm="1">
        <f t="array" ref="E110">IF($D$103="","-",SUMPRODUCT((Références!$B$7:$B$44=C110)*(Références!$C$7:$C$44=$D$103)*((Références!$D$7:$D$44=$A$108)*(Références!$E$7:$E$44))))</f>
        <v>-</v>
      </c>
      <c r="F110" s="93" t="str">
        <f t="shared" si="0"/>
        <v>-</v>
      </c>
      <c r="G110" s="67"/>
      <c r="H110" s="6"/>
      <c r="I110" s="6"/>
      <c r="J110" s="6"/>
      <c r="K110" s="6"/>
      <c r="L110" s="6"/>
      <c r="M110" s="6"/>
      <c r="N110" s="6"/>
      <c r="O110" s="191"/>
      <c r="P110" s="191"/>
      <c r="Q110" s="191"/>
      <c r="R110" s="191"/>
      <c r="S110" s="191"/>
      <c r="T110" s="191"/>
      <c r="W110" s="445"/>
    </row>
    <row r="111" spans="1:23" ht="15" customHeight="1">
      <c r="A111" s="379" t="s">
        <v>7</v>
      </c>
      <c r="B111" s="380"/>
      <c r="C111" s="92" t="s">
        <v>5</v>
      </c>
      <c r="D111" s="3"/>
      <c r="E111" s="216" t="str" cm="1">
        <f t="array" ref="E111">IF($D$103="","-",SUMPRODUCT((Références!$B$7:$B$44=C111)*(Références!$C$7:$C$44=$D$103)*((Références!$D$7:$D$44=$A$111)*(Références!$E$7:$E$44))))</f>
        <v>-</v>
      </c>
      <c r="F111" s="93" t="str">
        <f t="shared" si="0"/>
        <v>-</v>
      </c>
      <c r="G111" s="67"/>
      <c r="H111" s="6"/>
      <c r="I111" s="6"/>
      <c r="J111" s="6"/>
      <c r="K111" s="6"/>
      <c r="L111" s="6"/>
      <c r="M111" s="6"/>
      <c r="N111" s="6"/>
      <c r="O111" s="191"/>
      <c r="P111" s="191"/>
      <c r="Q111" s="191"/>
      <c r="R111" s="191"/>
      <c r="S111" s="191"/>
      <c r="T111" s="191"/>
      <c r="W111" s="445"/>
    </row>
    <row r="112" spans="1:23" ht="15" customHeight="1">
      <c r="A112" s="379"/>
      <c r="B112" s="380"/>
      <c r="C112" s="92" t="s">
        <v>4</v>
      </c>
      <c r="D112" s="3"/>
      <c r="E112" s="216" t="str" cm="1">
        <f t="array" ref="E112">IF($D$103="","-",SUMPRODUCT((Références!$B$7:$B$44=C112)*(Références!$C$7:$C$44=$D$103)*((Références!$D$7:$D$44=$A$111)*(Références!$E$7:$E$44))))</f>
        <v>-</v>
      </c>
      <c r="F112" s="93" t="str">
        <f t="shared" si="0"/>
        <v>-</v>
      </c>
      <c r="G112" s="67"/>
      <c r="H112" s="6"/>
      <c r="I112" s="6"/>
      <c r="J112" s="6"/>
      <c r="K112" s="6"/>
      <c r="L112" s="6"/>
      <c r="M112" s="6"/>
      <c r="N112" s="6"/>
      <c r="O112" s="191"/>
      <c r="P112" s="191"/>
      <c r="Q112" s="191"/>
      <c r="R112" s="191"/>
      <c r="S112" s="191"/>
      <c r="T112" s="191"/>
      <c r="W112" s="445"/>
    </row>
    <row r="113" spans="1:23" ht="15" customHeight="1">
      <c r="A113" s="379"/>
      <c r="B113" s="380"/>
      <c r="C113" s="92" t="s">
        <v>3</v>
      </c>
      <c r="D113" s="3"/>
      <c r="E113" s="216" t="str" cm="1">
        <f t="array" ref="E113">IF($D$103="","-",SUMPRODUCT((Références!$B$7:$B$44=C113)*(Références!$C$7:$C$44=$D$103)*((Références!$D$7:$D$44=$A$111)*(Références!$E$7:$E$44))))</f>
        <v>-</v>
      </c>
      <c r="F113" s="93" t="str">
        <f t="shared" si="0"/>
        <v>-</v>
      </c>
      <c r="G113" s="67"/>
      <c r="H113" s="6"/>
      <c r="I113" s="6"/>
      <c r="J113" s="6"/>
      <c r="K113" s="6"/>
      <c r="L113" s="6"/>
      <c r="M113" s="6"/>
      <c r="N113" s="6"/>
      <c r="O113" s="191"/>
      <c r="P113" s="191"/>
      <c r="Q113" s="191"/>
      <c r="R113" s="191"/>
      <c r="S113" s="191"/>
      <c r="T113" s="191"/>
      <c r="W113" s="445"/>
    </row>
    <row r="114" spans="1:23" ht="15" customHeight="1">
      <c r="A114" s="379" t="s">
        <v>8</v>
      </c>
      <c r="B114" s="380"/>
      <c r="C114" s="92" t="s">
        <v>5</v>
      </c>
      <c r="D114" s="3"/>
      <c r="E114" s="216" t="str" cm="1">
        <f t="array" ref="E114">IF($D$103="","-",SUMPRODUCT((Références!$B$7:$B$44=C114)*(Références!$C$7:$C$44=$D$103)*((Références!$D$7:$D$44=$A$114)*(Références!$E$7:$E$44))))</f>
        <v>-</v>
      </c>
      <c r="F114" s="93" t="str">
        <f t="shared" si="0"/>
        <v>-</v>
      </c>
      <c r="G114" s="67"/>
      <c r="H114" s="6"/>
      <c r="I114" s="6"/>
      <c r="J114" s="6"/>
      <c r="K114" s="6"/>
      <c r="L114" s="6"/>
      <c r="M114" s="6"/>
      <c r="N114" s="6"/>
      <c r="O114" s="191"/>
      <c r="P114" s="191"/>
      <c r="Q114" s="191"/>
      <c r="R114" s="191"/>
      <c r="S114" s="191"/>
      <c r="T114" s="191"/>
      <c r="W114" s="445"/>
    </row>
    <row r="115" spans="1:23" ht="15" customHeight="1">
      <c r="A115" s="379"/>
      <c r="B115" s="380"/>
      <c r="C115" s="92" t="s">
        <v>4</v>
      </c>
      <c r="D115" s="3"/>
      <c r="E115" s="216" t="str" cm="1">
        <f t="array" ref="E115">IF($D$103="","-",SUMPRODUCT((Références!$B$7:$B$44=C115)*(Références!$C$7:$C$44=$D$103)*((Références!$D$7:$D$44=$A$114)*(Références!$E$7:$E$44))))</f>
        <v>-</v>
      </c>
      <c r="F115" s="93" t="str">
        <f t="shared" si="0"/>
        <v>-</v>
      </c>
      <c r="G115" s="67"/>
      <c r="H115" s="6"/>
      <c r="I115" s="6"/>
      <c r="J115" s="6"/>
      <c r="K115" s="6"/>
      <c r="L115" s="6"/>
      <c r="M115" s="6"/>
      <c r="N115" s="6"/>
      <c r="O115" s="191"/>
      <c r="P115" s="191"/>
      <c r="Q115" s="191"/>
      <c r="R115" s="191"/>
      <c r="S115" s="191"/>
      <c r="T115" s="191"/>
      <c r="W115" s="445"/>
    </row>
    <row r="116" spans="1:23" ht="15" customHeight="1">
      <c r="A116" s="379"/>
      <c r="B116" s="380"/>
      <c r="C116" s="92" t="s">
        <v>3</v>
      </c>
      <c r="D116" s="3"/>
      <c r="E116" s="216" t="str" cm="1">
        <f t="array" ref="E116">IF($D$103="","-",SUMPRODUCT((Références!$B$7:$B$44=C116)*(Références!$C$7:$C$44=$D$103)*((Références!$D$7:$D$44=$A$114)*(Références!$E$7:$E$44))))</f>
        <v>-</v>
      </c>
      <c r="F116" s="93" t="str">
        <f t="shared" si="0"/>
        <v>-</v>
      </c>
      <c r="G116" s="67"/>
      <c r="H116" s="6"/>
      <c r="I116" s="6"/>
      <c r="J116" s="6"/>
      <c r="K116" s="6"/>
      <c r="L116" s="6"/>
      <c r="M116" s="6"/>
      <c r="N116" s="6"/>
      <c r="O116" s="191"/>
      <c r="P116" s="191"/>
      <c r="Q116" s="191"/>
      <c r="R116" s="191"/>
      <c r="S116" s="191"/>
      <c r="T116" s="191"/>
      <c r="W116" s="445"/>
    </row>
    <row r="117" spans="1:23" ht="15" customHeight="1">
      <c r="A117" s="381" t="s">
        <v>17</v>
      </c>
      <c r="B117" s="382"/>
      <c r="C117" s="92" t="s">
        <v>5</v>
      </c>
      <c r="D117" s="3"/>
      <c r="E117" s="216" t="str" cm="1">
        <f t="array" ref="E117">IF($D$103="","-",SUMPRODUCT((Références!$B$7:$B$44=C117)*(Références!$C$7:$C$44=$D$103)*((Références!$D$7:$D$44=$A$117)*(Références!$E$7:$E$44))))</f>
        <v>-</v>
      </c>
      <c r="F117" s="93" t="str">
        <f t="shared" si="0"/>
        <v>-</v>
      </c>
      <c r="G117" s="67"/>
      <c r="H117" s="6"/>
      <c r="I117" s="6"/>
      <c r="J117" s="6"/>
      <c r="K117" s="6"/>
      <c r="L117" s="6"/>
      <c r="M117" s="6"/>
      <c r="N117" s="6"/>
      <c r="O117" s="191"/>
      <c r="P117" s="191"/>
      <c r="Q117" s="191"/>
      <c r="R117" s="191"/>
      <c r="S117" s="191"/>
      <c r="T117" s="191"/>
      <c r="W117" s="445"/>
    </row>
    <row r="118" spans="1:23" ht="15" customHeight="1">
      <c r="A118" s="379"/>
      <c r="B118" s="380"/>
      <c r="C118" s="92" t="s">
        <v>4</v>
      </c>
      <c r="D118" s="3"/>
      <c r="E118" s="216" t="str" cm="1">
        <f t="array" ref="E118">IF($D$103="","-",SUMPRODUCT((Références!$B$7:$B$44=C118)*(Références!$C$7:$C$44=$D$103)*((Références!$D$7:$D$44=$A$117)*(Références!$E$7:$E$44))))</f>
        <v>-</v>
      </c>
      <c r="F118" s="93" t="str">
        <f t="shared" si="0"/>
        <v>-</v>
      </c>
      <c r="G118" s="67"/>
      <c r="H118" s="6"/>
      <c r="I118" s="6"/>
      <c r="J118" s="6"/>
      <c r="K118" s="6"/>
      <c r="L118" s="6"/>
      <c r="M118" s="6"/>
      <c r="N118" s="6"/>
      <c r="O118" s="191"/>
      <c r="P118" s="191"/>
      <c r="Q118" s="191"/>
      <c r="R118" s="191"/>
      <c r="S118" s="191"/>
      <c r="T118" s="191"/>
      <c r="W118" s="445"/>
    </row>
    <row r="119" spans="1:23" ht="15" customHeight="1">
      <c r="A119" s="379"/>
      <c r="B119" s="380"/>
      <c r="C119" s="92" t="s">
        <v>3</v>
      </c>
      <c r="D119" s="3"/>
      <c r="E119" s="216" t="str" cm="1">
        <f t="array" ref="E119">IF($D$103="","-",SUMPRODUCT((Références!$B$7:$B$44=C119)*(Références!$C$7:$C$44=$D$103)*((Références!$D$7:$D$44=$A$117)*(Références!$E$7:$E$44))))</f>
        <v>-</v>
      </c>
      <c r="F119" s="93" t="str">
        <f t="shared" si="0"/>
        <v>-</v>
      </c>
      <c r="G119" s="67"/>
      <c r="H119" s="6"/>
      <c r="I119" s="6"/>
      <c r="J119" s="6"/>
      <c r="K119" s="6"/>
      <c r="L119" s="6"/>
      <c r="M119" s="6"/>
      <c r="N119" s="6"/>
      <c r="O119" s="191"/>
      <c r="P119" s="191"/>
      <c r="Q119" s="191"/>
      <c r="R119" s="191"/>
      <c r="S119" s="191"/>
      <c r="T119" s="191"/>
      <c r="W119" s="445"/>
    </row>
    <row r="120" spans="1:23" ht="15" customHeight="1">
      <c r="A120" s="383" t="s">
        <v>24</v>
      </c>
      <c r="B120" s="384"/>
      <c r="C120" s="385"/>
      <c r="D120" s="3"/>
      <c r="E120" s="207">
        <v>0.95</v>
      </c>
      <c r="F120" s="93" t="str">
        <f t="shared" si="0"/>
        <v>-</v>
      </c>
      <c r="G120" s="67"/>
      <c r="H120" s="6"/>
      <c r="I120" s="6"/>
      <c r="J120" s="6"/>
      <c r="K120" s="6"/>
      <c r="L120" s="6"/>
      <c r="M120" s="6"/>
      <c r="N120" s="6"/>
      <c r="O120" s="191"/>
      <c r="P120" s="191"/>
      <c r="Q120" s="191"/>
      <c r="R120" s="191"/>
      <c r="S120" s="191"/>
      <c r="T120" s="191"/>
      <c r="W120" s="445"/>
    </row>
    <row r="121" spans="1:23" ht="15" customHeight="1">
      <c r="A121" s="383" t="s">
        <v>1</v>
      </c>
      <c r="B121" s="384"/>
      <c r="C121" s="385"/>
      <c r="D121" s="3"/>
      <c r="E121" s="207">
        <v>0.05</v>
      </c>
      <c r="F121" s="93" t="str">
        <f t="shared" si="0"/>
        <v>-</v>
      </c>
      <c r="G121" s="67"/>
      <c r="H121" s="6"/>
      <c r="I121" s="6"/>
      <c r="J121" s="6"/>
      <c r="K121" s="6"/>
      <c r="L121" s="6"/>
      <c r="M121" s="6"/>
      <c r="N121" s="6"/>
      <c r="O121" s="191"/>
      <c r="P121" s="191"/>
      <c r="Q121" s="191"/>
      <c r="R121" s="191"/>
      <c r="S121" s="191"/>
      <c r="T121" s="191"/>
      <c r="W121" s="445"/>
    </row>
    <row r="122" spans="1:23" ht="18.75" customHeight="1">
      <c r="A122" s="376" t="s">
        <v>487</v>
      </c>
      <c r="B122" s="377"/>
      <c r="C122" s="378"/>
      <c r="D122" s="319" t="s">
        <v>483</v>
      </c>
      <c r="E122" s="319" t="s">
        <v>484</v>
      </c>
      <c r="F122" s="319" t="s">
        <v>497</v>
      </c>
      <c r="G122" s="67"/>
      <c r="H122" s="6"/>
      <c r="I122" s="6"/>
      <c r="J122" s="6"/>
      <c r="K122" s="6"/>
      <c r="L122" s="6"/>
      <c r="M122" s="6"/>
      <c r="N122" s="6"/>
      <c r="O122" s="191"/>
      <c r="P122" s="191"/>
      <c r="Q122" s="191"/>
      <c r="R122" s="191"/>
      <c r="S122" s="191"/>
      <c r="T122" s="191"/>
      <c r="W122" s="445"/>
    </row>
    <row r="123" spans="1:23" ht="18" customHeight="1">
      <c r="A123" s="343" t="s">
        <v>489</v>
      </c>
      <c r="B123" s="344"/>
      <c r="C123" s="94" t="s">
        <v>467</v>
      </c>
      <c r="D123" s="321"/>
      <c r="E123" s="321"/>
      <c r="F123" s="321"/>
      <c r="G123" s="67"/>
      <c r="H123" s="6"/>
      <c r="I123" s="6"/>
      <c r="J123" s="6"/>
      <c r="K123" s="6"/>
      <c r="L123" s="6"/>
      <c r="M123" s="6"/>
      <c r="N123" s="6"/>
      <c r="O123" s="191"/>
      <c r="P123" s="191"/>
      <c r="Q123" s="191"/>
      <c r="R123" s="191"/>
      <c r="S123" s="191"/>
      <c r="T123" s="191"/>
      <c r="W123" s="445"/>
    </row>
    <row r="124" spans="1:23" ht="15" customHeight="1">
      <c r="A124" s="339"/>
      <c r="B124" s="341"/>
      <c r="C124" s="218"/>
      <c r="D124" s="218"/>
      <c r="E124" s="217"/>
      <c r="F124" s="93" t="str">
        <f t="shared" si="0"/>
        <v>-</v>
      </c>
      <c r="G124" s="342" t="str" cm="1">
        <f t="array" ref="G124">IF(aire_considerees&lt;SUM(D108:D121,D124:D137),"Un coefficient doit être associé à chaque sous-bassin où A &gt; 0.","")</f>
        <v/>
      </c>
      <c r="H124" s="6"/>
      <c r="I124" s="6"/>
      <c r="J124" s="6"/>
      <c r="K124" s="6"/>
      <c r="L124" s="6"/>
      <c r="M124" s="6"/>
      <c r="N124" s="6"/>
      <c r="O124" s="191"/>
      <c r="P124" s="191"/>
      <c r="Q124" s="191"/>
      <c r="R124" s="191"/>
      <c r="S124" s="191"/>
      <c r="T124" s="191"/>
      <c r="W124" s="445"/>
    </row>
    <row r="125" spans="1:23" ht="15" customHeight="1">
      <c r="A125" s="339"/>
      <c r="B125" s="340"/>
      <c r="C125" s="219"/>
      <c r="D125" s="218"/>
      <c r="E125" s="217"/>
      <c r="F125" s="93" t="str">
        <f t="shared" si="0"/>
        <v>-</v>
      </c>
      <c r="G125" s="342"/>
      <c r="H125" s="6"/>
      <c r="I125" s="6"/>
      <c r="J125" s="6"/>
      <c r="K125" s="6"/>
      <c r="L125" s="6"/>
      <c r="M125" s="6"/>
      <c r="N125" s="6"/>
      <c r="O125" s="191"/>
      <c r="P125" s="191"/>
      <c r="Q125" s="191"/>
      <c r="R125" s="191"/>
      <c r="S125" s="191"/>
      <c r="T125" s="191"/>
      <c r="W125" s="445"/>
    </row>
    <row r="126" spans="1:23" ht="15" customHeight="1">
      <c r="A126" s="339"/>
      <c r="B126" s="341"/>
      <c r="C126" s="218"/>
      <c r="D126" s="218"/>
      <c r="E126" s="217"/>
      <c r="F126" s="93" t="str">
        <f>IF(OR(E126="-",E126="",D126=""),"-",E126*D126)</f>
        <v>-</v>
      </c>
      <c r="G126" s="342"/>
      <c r="H126" s="6"/>
      <c r="I126" s="6"/>
      <c r="J126" s="6"/>
      <c r="K126" s="6"/>
      <c r="L126" s="6"/>
      <c r="M126" s="6"/>
      <c r="N126" s="6"/>
      <c r="O126" s="191"/>
      <c r="P126" s="191"/>
      <c r="Q126" s="191"/>
      <c r="R126" s="191"/>
      <c r="S126" s="191"/>
      <c r="T126" s="191"/>
      <c r="W126" s="445"/>
    </row>
    <row r="127" spans="1:23" ht="15" customHeight="1">
      <c r="A127" s="339"/>
      <c r="B127" s="340"/>
      <c r="C127" s="219"/>
      <c r="D127" s="218"/>
      <c r="E127" s="217"/>
      <c r="F127" s="93" t="str">
        <f>IF(OR(E127="-",E127="",D127=""),"-",E127*D127)</f>
        <v>-</v>
      </c>
      <c r="G127" s="342"/>
      <c r="H127" s="6"/>
      <c r="I127" s="6"/>
      <c r="J127" s="6"/>
      <c r="K127" s="6"/>
      <c r="L127" s="6"/>
      <c r="M127" s="6"/>
      <c r="N127" s="6"/>
      <c r="O127" s="191"/>
      <c r="P127" s="191"/>
      <c r="Q127" s="191"/>
      <c r="R127" s="191"/>
      <c r="S127" s="191"/>
      <c r="T127" s="191"/>
      <c r="W127" s="445"/>
    </row>
    <row r="128" spans="1:23" ht="15" customHeight="1">
      <c r="A128" s="339"/>
      <c r="B128" s="341"/>
      <c r="C128" s="218"/>
      <c r="D128" s="218"/>
      <c r="E128" s="217"/>
      <c r="F128" s="93" t="str">
        <f t="shared" si="0"/>
        <v>-</v>
      </c>
      <c r="G128" s="342"/>
      <c r="H128" s="6"/>
      <c r="I128" s="6"/>
      <c r="J128" s="6"/>
      <c r="K128" s="6"/>
      <c r="L128" s="6"/>
      <c r="M128" s="6"/>
      <c r="N128" s="6"/>
      <c r="O128" s="191"/>
      <c r="P128" s="191"/>
      <c r="Q128" s="191"/>
      <c r="R128" s="191"/>
      <c r="S128" s="191"/>
      <c r="T128" s="191"/>
      <c r="W128" s="445"/>
    </row>
    <row r="129" spans="1:23" ht="15" customHeight="1">
      <c r="A129" s="339"/>
      <c r="B129" s="340"/>
      <c r="C129" s="219"/>
      <c r="D129" s="218"/>
      <c r="E129" s="217"/>
      <c r="F129" s="93" t="str">
        <f t="shared" si="0"/>
        <v>-</v>
      </c>
      <c r="G129" s="342"/>
      <c r="H129" s="6"/>
      <c r="I129" s="6"/>
      <c r="J129" s="6"/>
      <c r="K129" s="6"/>
      <c r="L129" s="6"/>
      <c r="M129" s="6"/>
      <c r="N129" s="6"/>
      <c r="O129" s="191"/>
      <c r="P129" s="191"/>
      <c r="Q129" s="191"/>
      <c r="R129" s="191"/>
      <c r="S129" s="191"/>
      <c r="T129" s="191"/>
      <c r="W129" s="445"/>
    </row>
    <row r="130" spans="1:23" ht="15" customHeight="1">
      <c r="A130" s="339"/>
      <c r="B130" s="340"/>
      <c r="C130" s="219"/>
      <c r="D130" s="218"/>
      <c r="E130" s="217"/>
      <c r="F130" s="93" t="str">
        <f t="shared" si="0"/>
        <v>-</v>
      </c>
      <c r="G130" s="342"/>
      <c r="H130" s="6"/>
      <c r="I130" s="6"/>
      <c r="J130" s="6"/>
      <c r="K130" s="6"/>
      <c r="L130" s="6"/>
      <c r="M130" s="6"/>
      <c r="N130" s="6"/>
      <c r="O130" s="191"/>
      <c r="P130" s="191"/>
      <c r="Q130" s="191"/>
      <c r="R130" s="191"/>
      <c r="S130" s="191"/>
      <c r="T130" s="191"/>
      <c r="W130" s="445"/>
    </row>
    <row r="131" spans="1:23" ht="15" customHeight="1">
      <c r="A131" s="339"/>
      <c r="B131" s="340"/>
      <c r="C131" s="219"/>
      <c r="D131" s="218"/>
      <c r="E131" s="217"/>
      <c r="F131" s="93" t="str">
        <f t="shared" si="0"/>
        <v>-</v>
      </c>
      <c r="G131" s="342"/>
      <c r="H131" s="6"/>
      <c r="I131" s="6"/>
      <c r="J131" s="6"/>
      <c r="K131" s="6"/>
      <c r="L131" s="6"/>
      <c r="M131" s="6"/>
      <c r="N131" s="6"/>
      <c r="O131" s="191"/>
      <c r="P131" s="191"/>
      <c r="Q131" s="191"/>
      <c r="R131" s="191"/>
      <c r="S131" s="191"/>
      <c r="T131" s="191"/>
      <c r="W131" s="445"/>
    </row>
    <row r="132" spans="1:23" ht="15" customHeight="1">
      <c r="A132" s="339"/>
      <c r="B132" s="341"/>
      <c r="C132" s="218"/>
      <c r="D132" s="218"/>
      <c r="E132" s="217"/>
      <c r="F132" s="93" t="str">
        <f t="shared" si="0"/>
        <v>-</v>
      </c>
      <c r="G132" s="342"/>
      <c r="H132" s="6"/>
      <c r="I132" s="6"/>
      <c r="J132" s="6"/>
      <c r="K132" s="6"/>
      <c r="L132" s="6"/>
      <c r="M132" s="6"/>
      <c r="N132" s="6"/>
      <c r="O132" s="191"/>
      <c r="P132" s="191"/>
      <c r="Q132" s="191"/>
      <c r="R132" s="191"/>
      <c r="S132" s="191"/>
      <c r="T132" s="191"/>
      <c r="W132" s="445"/>
    </row>
    <row r="133" spans="1:23" ht="15" customHeight="1">
      <c r="A133" s="339"/>
      <c r="B133" s="340"/>
      <c r="C133" s="219"/>
      <c r="D133" s="218"/>
      <c r="E133" s="217"/>
      <c r="F133" s="93" t="str">
        <f t="shared" si="0"/>
        <v>-</v>
      </c>
      <c r="G133" s="342"/>
      <c r="H133" s="6"/>
      <c r="I133" s="6"/>
      <c r="J133" s="6"/>
      <c r="K133" s="6"/>
      <c r="L133" s="6"/>
      <c r="M133" s="6"/>
      <c r="N133" s="6"/>
      <c r="O133" s="191"/>
      <c r="P133" s="191"/>
      <c r="Q133" s="191"/>
      <c r="R133" s="191"/>
      <c r="S133" s="191"/>
      <c r="T133" s="191"/>
      <c r="W133" s="445"/>
    </row>
    <row r="134" spans="1:23" ht="15" customHeight="1">
      <c r="A134" s="339"/>
      <c r="B134" s="340"/>
      <c r="C134" s="219"/>
      <c r="D134" s="218"/>
      <c r="E134" s="217"/>
      <c r="F134" s="93" t="str">
        <f t="shared" si="0"/>
        <v>-</v>
      </c>
      <c r="G134" s="342"/>
      <c r="H134" s="6"/>
      <c r="I134" s="6"/>
      <c r="J134" s="6"/>
      <c r="K134" s="6"/>
      <c r="L134" s="6"/>
      <c r="M134" s="6"/>
      <c r="N134" s="6"/>
      <c r="O134" s="191"/>
      <c r="P134" s="191"/>
      <c r="Q134" s="191"/>
      <c r="R134" s="191"/>
      <c r="S134" s="191"/>
      <c r="T134" s="191"/>
      <c r="W134" s="445"/>
    </row>
    <row r="135" spans="1:23" ht="15" customHeight="1">
      <c r="A135" s="339"/>
      <c r="B135" s="340"/>
      <c r="C135" s="219"/>
      <c r="D135" s="218"/>
      <c r="E135" s="217"/>
      <c r="F135" s="93" t="str">
        <f t="shared" si="0"/>
        <v>-</v>
      </c>
      <c r="G135" s="342"/>
      <c r="H135" s="6"/>
      <c r="I135" s="6"/>
      <c r="J135" s="6"/>
      <c r="K135" s="6"/>
      <c r="L135" s="6"/>
      <c r="M135" s="6"/>
      <c r="N135" s="6"/>
      <c r="O135" s="191"/>
      <c r="P135" s="191"/>
      <c r="Q135" s="191"/>
      <c r="R135" s="191"/>
      <c r="S135" s="191"/>
      <c r="T135" s="191"/>
      <c r="W135" s="445"/>
    </row>
    <row r="136" spans="1:23" ht="15" customHeight="1">
      <c r="A136" s="339"/>
      <c r="B136" s="341"/>
      <c r="C136" s="218"/>
      <c r="D136" s="218"/>
      <c r="E136" s="217"/>
      <c r="F136" s="93" t="str">
        <f t="shared" si="0"/>
        <v>-</v>
      </c>
      <c r="G136" s="342"/>
      <c r="H136" s="6"/>
      <c r="I136" s="6"/>
      <c r="J136" s="6"/>
      <c r="K136" s="6"/>
      <c r="L136" s="6"/>
      <c r="M136" s="6"/>
      <c r="N136" s="6"/>
      <c r="O136" s="191"/>
      <c r="P136" s="191"/>
      <c r="Q136" s="191"/>
      <c r="R136" s="191"/>
      <c r="S136" s="191"/>
      <c r="T136" s="191"/>
      <c r="W136" s="445"/>
    </row>
    <row r="137" spans="1:23" ht="15" customHeight="1">
      <c r="A137" s="339"/>
      <c r="B137" s="341"/>
      <c r="C137" s="218"/>
      <c r="D137" s="218"/>
      <c r="E137" s="217"/>
      <c r="F137" s="93" t="str">
        <f t="shared" si="0"/>
        <v>-</v>
      </c>
      <c r="G137" s="342"/>
      <c r="H137" s="6"/>
      <c r="I137" s="6"/>
      <c r="J137" s="6"/>
      <c r="K137" s="6"/>
      <c r="L137" s="6"/>
      <c r="M137" s="6"/>
      <c r="N137" s="6"/>
      <c r="O137" s="191"/>
      <c r="P137" s="191"/>
      <c r="Q137" s="191"/>
      <c r="R137" s="191"/>
      <c r="S137" s="191"/>
      <c r="T137" s="191"/>
      <c r="W137" s="445"/>
    </row>
    <row r="138" spans="1:23" ht="15" customHeight="1">
      <c r="A138" s="322" t="s">
        <v>570</v>
      </c>
      <c r="B138" s="323"/>
      <c r="C138" s="324"/>
      <c r="D138" s="306" t="str" cm="1">
        <f t="array" ref="D138">IF(aire_considerees=0,"-",aire_considerees)</f>
        <v>-</v>
      </c>
      <c r="E138" s="455" t="str" cm="1">
        <f t="array" ref="E138">IF(D139="-","La superficie du bassin versant doit être saisie à la section 1.",IF(aire_consid_pgrand_bv,"Attention: aires considérées ("&amp;ROUND(aire_considerees,2)&amp;") &gt; Aire bassin versant ("&amp;ROUND(C44,2)&amp;")",IF(ROUND(aire_considerees,2)&lt;ROUND(C44,2),"Aires considérées &lt; Aire du bassin versant","")))</f>
        <v>La superficie du bassin versant doit être saisie à la section 1.</v>
      </c>
      <c r="F138" s="455"/>
      <c r="G138" s="20"/>
      <c r="H138" s="6"/>
      <c r="I138" s="6"/>
      <c r="J138" s="6"/>
      <c r="K138" s="6"/>
      <c r="L138" s="6"/>
      <c r="M138" s="6"/>
      <c r="N138" s="6"/>
      <c r="O138" s="191"/>
      <c r="P138" s="191"/>
      <c r="Q138" s="191"/>
      <c r="R138" s="191"/>
      <c r="S138" s="191"/>
      <c r="T138" s="191"/>
      <c r="W138" s="445"/>
    </row>
    <row r="139" spans="1:23" ht="15" customHeight="1">
      <c r="A139" s="322" t="s">
        <v>492</v>
      </c>
      <c r="B139" s="323"/>
      <c r="C139" s="324"/>
      <c r="D139" s="306" t="str">
        <f>IF(C44=0,"-",C44)</f>
        <v>-</v>
      </c>
      <c r="E139" s="95"/>
      <c r="F139" s="96"/>
      <c r="G139" s="76"/>
      <c r="H139" s="6"/>
      <c r="I139" s="6"/>
      <c r="J139" s="6"/>
      <c r="K139" s="6"/>
      <c r="L139" s="6"/>
      <c r="M139" s="6"/>
      <c r="N139" s="6"/>
      <c r="O139" s="191"/>
      <c r="P139" s="191"/>
      <c r="Q139" s="191"/>
      <c r="R139" s="191"/>
      <c r="S139" s="191"/>
      <c r="T139" s="191"/>
      <c r="W139" s="445"/>
    </row>
    <row r="140" spans="1:23" ht="15" customHeight="1">
      <c r="A140" s="322" t="s">
        <v>486</v>
      </c>
      <c r="B140" s="323"/>
      <c r="C140" s="324"/>
      <c r="D140" s="307" t="str">
        <f>IF(OR(D138="-",aire_consid_pgrand_bv,D139="-"),"-",100*D138/D139)</f>
        <v>-</v>
      </c>
      <c r="E140" s="97"/>
      <c r="F140" s="98"/>
      <c r="G140" s="76"/>
      <c r="H140" s="6"/>
      <c r="I140" s="6"/>
      <c r="J140" s="6"/>
      <c r="K140" s="6"/>
      <c r="L140" s="6"/>
      <c r="M140" s="6"/>
      <c r="N140" s="6"/>
      <c r="O140" s="191"/>
      <c r="P140" s="191"/>
      <c r="Q140" s="191"/>
      <c r="R140" s="191"/>
      <c r="S140" s="191"/>
      <c r="T140" s="191"/>
      <c r="W140" s="445"/>
    </row>
    <row r="141" spans="1:23" ht="18" customHeight="1">
      <c r="A141" s="353" t="s">
        <v>490</v>
      </c>
      <c r="B141" s="354"/>
      <c r="C141" s="355"/>
      <c r="D141" s="99" t="str">
        <f>IF(OR(G124&lt;&gt;"",SUM(F108:F137)=0,D140="-"),"-",SUM(F108:F137)/D138)</f>
        <v>-</v>
      </c>
      <c r="E141" s="95"/>
      <c r="F141" s="95"/>
      <c r="G141" s="95"/>
      <c r="H141" s="6"/>
      <c r="I141" s="6"/>
      <c r="J141" s="6"/>
      <c r="K141" s="6"/>
      <c r="L141" s="6"/>
      <c r="M141" s="6"/>
      <c r="N141" s="6"/>
      <c r="O141" s="191"/>
      <c r="P141" s="191"/>
      <c r="Q141" s="191"/>
      <c r="R141" s="191"/>
      <c r="S141" s="191"/>
      <c r="T141" s="191"/>
      <c r="W141" s="445"/>
    </row>
    <row r="142" spans="1:23" ht="25.5">
      <c r="A142" s="346" t="s">
        <v>535</v>
      </c>
      <c r="B142" s="346"/>
      <c r="C142" s="346"/>
      <c r="D142" s="346"/>
      <c r="E142" s="346"/>
      <c r="F142" s="346"/>
      <c r="G142" s="346"/>
      <c r="H142" s="6"/>
      <c r="I142" s="6"/>
      <c r="J142" s="6"/>
      <c r="K142" s="6"/>
      <c r="L142" s="6"/>
      <c r="M142" s="6"/>
      <c r="N142" s="6"/>
      <c r="O142" s="191"/>
      <c r="P142" s="191"/>
      <c r="Q142" s="191"/>
      <c r="R142" s="191"/>
      <c r="S142" s="191"/>
      <c r="T142" s="191"/>
      <c r="W142" s="445"/>
    </row>
    <row r="143" spans="1:23">
      <c r="A143" s="21"/>
      <c r="B143" s="21"/>
      <c r="C143" s="21"/>
      <c r="D143" s="21"/>
      <c r="E143" s="21"/>
      <c r="F143" s="21"/>
      <c r="G143" s="21"/>
      <c r="H143" s="6"/>
      <c r="I143" s="6"/>
      <c r="J143" s="6"/>
      <c r="K143" s="6"/>
      <c r="L143" s="6"/>
      <c r="M143" s="6"/>
      <c r="N143" s="6"/>
      <c r="O143" s="191"/>
      <c r="P143" s="191"/>
      <c r="Q143" s="191"/>
      <c r="R143" s="191"/>
      <c r="S143" s="191"/>
      <c r="T143" s="191"/>
      <c r="W143" s="445"/>
    </row>
    <row r="144" spans="1:23" ht="20.45" customHeight="1">
      <c r="A144" s="360" t="s">
        <v>667</v>
      </c>
      <c r="B144" s="360"/>
      <c r="C144" s="360"/>
      <c r="D144" s="360"/>
      <c r="E144" s="360"/>
      <c r="F144" s="360"/>
      <c r="G144" s="21"/>
      <c r="H144" s="6"/>
      <c r="I144" s="6"/>
      <c r="J144" s="6"/>
      <c r="K144" s="6"/>
      <c r="L144" s="6"/>
      <c r="M144" s="6"/>
      <c r="N144" s="6"/>
      <c r="O144" s="191"/>
      <c r="P144" s="191"/>
      <c r="Q144" s="191"/>
      <c r="R144" s="191"/>
      <c r="S144" s="191"/>
      <c r="T144" s="191"/>
      <c r="W144" s="445"/>
    </row>
    <row r="145" spans="1:23">
      <c r="A145" s="21"/>
      <c r="B145" s="21"/>
      <c r="C145" s="21"/>
      <c r="D145" s="21"/>
      <c r="E145" s="21"/>
      <c r="F145" s="21"/>
      <c r="G145" s="21"/>
      <c r="H145" s="6"/>
      <c r="I145" s="6"/>
      <c r="J145" s="6"/>
      <c r="K145" s="6"/>
      <c r="L145" s="6"/>
      <c r="M145" s="6"/>
      <c r="N145" s="6"/>
      <c r="O145" s="191"/>
      <c r="P145" s="191"/>
      <c r="Q145" s="191"/>
      <c r="R145" s="191"/>
      <c r="S145" s="191"/>
      <c r="T145" s="191"/>
      <c r="W145" s="445"/>
    </row>
    <row r="146" spans="1:23" ht="24.95" customHeight="1">
      <c r="A146" s="62" t="s">
        <v>538</v>
      </c>
      <c r="B146" s="62"/>
      <c r="C146" s="62"/>
      <c r="D146" s="62"/>
      <c r="E146" s="62"/>
      <c r="F146" s="62"/>
      <c r="G146" s="100"/>
      <c r="H146" s="438" t="s">
        <v>590</v>
      </c>
      <c r="I146" s="438"/>
      <c r="J146" s="438"/>
      <c r="K146" s="438"/>
      <c r="L146" s="438"/>
      <c r="M146" s="438"/>
      <c r="N146" s="438"/>
      <c r="O146" s="191"/>
      <c r="P146" s="191"/>
      <c r="Q146" s="191"/>
      <c r="R146" s="191"/>
      <c r="S146" s="191"/>
      <c r="T146" s="191"/>
    </row>
    <row r="147" spans="1:23" ht="18" customHeight="1">
      <c r="A147" s="62"/>
      <c r="B147" s="62"/>
      <c r="C147" s="62"/>
      <c r="D147" s="62"/>
      <c r="E147" s="62"/>
      <c r="F147" s="62"/>
      <c r="G147" s="100"/>
      <c r="H147" s="6"/>
      <c r="I147" s="6"/>
      <c r="J147" s="6"/>
      <c r="K147" s="6"/>
      <c r="L147" s="6"/>
      <c r="M147" s="6"/>
      <c r="N147" s="6"/>
      <c r="O147" s="191"/>
      <c r="P147" s="191"/>
      <c r="Q147" s="191"/>
      <c r="R147" s="191"/>
      <c r="S147" s="191"/>
      <c r="T147" s="191"/>
      <c r="W147" s="444"/>
    </row>
    <row r="148" spans="1:23" ht="15" customHeight="1">
      <c r="A148" s="51" t="s">
        <v>583</v>
      </c>
      <c r="B148" s="62"/>
      <c r="C148" s="62"/>
      <c r="D148" s="62"/>
      <c r="E148" s="62"/>
      <c r="F148" s="62"/>
      <c r="G148" s="100"/>
      <c r="H148" s="6"/>
      <c r="I148" s="6"/>
      <c r="J148" s="6"/>
      <c r="K148" s="6"/>
      <c r="L148" s="6"/>
      <c r="M148" s="6"/>
      <c r="N148" s="6"/>
      <c r="O148" s="191"/>
      <c r="P148" s="191"/>
      <c r="Q148" s="191"/>
      <c r="R148" s="191"/>
      <c r="S148" s="191"/>
      <c r="T148" s="191"/>
      <c r="W148" s="444"/>
    </row>
    <row r="149" spans="1:23" ht="13.5" thickBot="1">
      <c r="A149" s="95"/>
      <c r="B149" s="95"/>
      <c r="C149" s="76"/>
      <c r="D149" s="76"/>
      <c r="E149" s="67"/>
      <c r="F149" s="67"/>
      <c r="G149" s="67"/>
      <c r="H149" s="6"/>
      <c r="I149" s="6"/>
      <c r="J149" s="6"/>
      <c r="K149" s="6"/>
      <c r="L149" s="6"/>
      <c r="M149" s="6"/>
      <c r="N149" s="6"/>
      <c r="O149" s="191"/>
      <c r="P149" s="191"/>
      <c r="Q149" s="191"/>
      <c r="R149" s="191"/>
      <c r="S149" s="191"/>
      <c r="T149" s="191"/>
      <c r="W149" s="444"/>
    </row>
    <row r="150" spans="1:23" ht="18" customHeight="1" thickTop="1" thickBot="1">
      <c r="A150" s="21"/>
      <c r="B150" s="61" t="s">
        <v>496</v>
      </c>
      <c r="C150" s="361" t="s">
        <v>524</v>
      </c>
      <c r="D150" s="361"/>
      <c r="E150" s="101"/>
      <c r="F150" s="316" t="s">
        <v>511</v>
      </c>
      <c r="G150" s="210"/>
      <c r="H150" s="6"/>
      <c r="I150" s="6" t="s">
        <v>602</v>
      </c>
      <c r="J150" s="6"/>
      <c r="K150" s="6"/>
      <c r="L150" s="6"/>
      <c r="M150" s="6"/>
      <c r="N150" s="6"/>
      <c r="O150" s="191"/>
      <c r="P150" s="191"/>
      <c r="Q150" s="191"/>
      <c r="R150" s="191"/>
      <c r="S150" s="191"/>
      <c r="T150" s="191"/>
      <c r="W150" s="444"/>
    </row>
    <row r="151" spans="1:23" ht="18" customHeight="1" thickTop="1" thickBot="1">
      <c r="A151" s="21"/>
      <c r="B151" s="361" t="s">
        <v>639</v>
      </c>
      <c r="C151" s="361"/>
      <c r="D151" s="361"/>
      <c r="E151" s="305" t="str">
        <f>IF(E150="","-",E150*0.1)</f>
        <v>-</v>
      </c>
      <c r="F151" s="273"/>
      <c r="G151" s="67"/>
      <c r="H151" s="6"/>
      <c r="I151" s="6"/>
      <c r="J151" s="6"/>
      <c r="K151" s="6"/>
      <c r="L151" s="6"/>
      <c r="M151" s="6"/>
      <c r="N151" s="6"/>
      <c r="O151" s="191"/>
      <c r="P151" s="191"/>
      <c r="Q151" s="191"/>
      <c r="R151" s="191"/>
      <c r="S151" s="191"/>
      <c r="T151" s="191"/>
      <c r="W151" s="444"/>
    </row>
    <row r="152" spans="1:23" ht="18" customHeight="1" thickTop="1" thickBot="1">
      <c r="A152" s="21"/>
      <c r="B152" s="361" t="s">
        <v>640</v>
      </c>
      <c r="C152" s="361"/>
      <c r="D152" s="361"/>
      <c r="E152" s="305" t="str">
        <f>IF(E150="","-",E150*0.85)</f>
        <v>-</v>
      </c>
      <c r="F152" s="273"/>
      <c r="G152" s="67"/>
      <c r="H152" s="6"/>
      <c r="I152" s="6"/>
      <c r="J152" s="6"/>
      <c r="K152" s="6"/>
      <c r="L152" s="6"/>
      <c r="M152" s="6"/>
      <c r="N152" s="6"/>
      <c r="O152" s="191"/>
      <c r="P152" s="191"/>
      <c r="Q152" s="191"/>
      <c r="R152" s="191"/>
      <c r="S152" s="191"/>
      <c r="T152" s="191"/>
      <c r="W152" s="444"/>
    </row>
    <row r="153" spans="1:23" ht="18" customHeight="1" thickTop="1" thickBot="1">
      <c r="A153" s="21"/>
      <c r="B153" s="361" t="s">
        <v>591</v>
      </c>
      <c r="C153" s="361"/>
      <c r="D153" s="361"/>
      <c r="E153" s="102"/>
      <c r="F153" s="67"/>
      <c r="G153" s="67"/>
      <c r="H153" s="6"/>
      <c r="I153" s="6"/>
      <c r="J153" s="6"/>
      <c r="K153" s="6"/>
      <c r="L153" s="6"/>
      <c r="M153" s="6"/>
      <c r="N153" s="6"/>
      <c r="O153" s="191"/>
      <c r="P153" s="191"/>
      <c r="Q153" s="191"/>
      <c r="R153" s="191"/>
      <c r="S153" s="191"/>
      <c r="T153" s="191"/>
      <c r="W153" s="444"/>
    </row>
    <row r="154" spans="1:23" ht="18" customHeight="1" thickTop="1">
      <c r="A154" s="21"/>
      <c r="B154" s="361" t="s">
        <v>592</v>
      </c>
      <c r="C154" s="361"/>
      <c r="D154" s="361"/>
      <c r="E154" s="103"/>
      <c r="F154" s="21"/>
      <c r="G154" s="67"/>
      <c r="H154" s="6"/>
      <c r="I154" s="6"/>
      <c r="J154" s="6"/>
      <c r="K154" s="6"/>
      <c r="L154" s="6"/>
      <c r="M154" s="6"/>
      <c r="N154" s="6"/>
      <c r="O154" s="191"/>
      <c r="P154" s="191"/>
      <c r="Q154" s="191"/>
      <c r="R154" s="191"/>
      <c r="S154" s="191"/>
      <c r="T154" s="191"/>
      <c r="W154" s="444"/>
    </row>
    <row r="155" spans="1:23" ht="18" customHeight="1" thickBot="1">
      <c r="A155" s="21"/>
      <c r="B155" s="104"/>
      <c r="C155" s="104"/>
      <c r="D155" s="104"/>
      <c r="E155" s="105"/>
      <c r="F155" s="21"/>
      <c r="G155" s="67"/>
      <c r="H155" s="6"/>
      <c r="I155" s="6"/>
      <c r="J155" s="6"/>
      <c r="K155" s="6"/>
      <c r="L155" s="6"/>
      <c r="M155" s="6"/>
      <c r="N155" s="6"/>
      <c r="O155" s="191"/>
      <c r="P155" s="191"/>
      <c r="Q155" s="191"/>
      <c r="R155" s="191"/>
      <c r="S155" s="191"/>
      <c r="T155" s="191"/>
      <c r="W155" s="444"/>
    </row>
    <row r="156" spans="1:23" ht="18" customHeight="1" thickTop="1">
      <c r="A156" s="21"/>
      <c r="B156" s="361" t="s">
        <v>495</v>
      </c>
      <c r="C156" s="361"/>
      <c r="D156" s="361"/>
      <c r="E156" s="106" t="str">
        <f>IF(OR(E150="",E154="",E153="",E154&gt;E153),"-",100*(E153-E154)/(E150*0.75))</f>
        <v>-</v>
      </c>
      <c r="F156" s="364" t="str">
        <f>IF(E153&lt;E154,"Attention: les élévations pour le point à 85% et à 10% ont été inversées.","")</f>
        <v/>
      </c>
      <c r="G156" s="364"/>
      <c r="H156" s="6"/>
      <c r="I156" s="6"/>
      <c r="J156" s="6"/>
      <c r="K156" s="6"/>
      <c r="L156" s="6"/>
      <c r="M156" s="6"/>
      <c r="N156" s="6"/>
      <c r="O156" s="191"/>
      <c r="P156" s="191"/>
      <c r="Q156" s="191"/>
      <c r="R156" s="191"/>
      <c r="S156" s="191"/>
      <c r="T156" s="191"/>
      <c r="W156" s="444"/>
    </row>
    <row r="157" spans="1:23" ht="15.75">
      <c r="A157" s="75"/>
      <c r="B157" s="75"/>
      <c r="C157" s="67"/>
      <c r="D157" s="21"/>
      <c r="E157" s="21"/>
      <c r="F157" s="65"/>
      <c r="G157" s="65"/>
      <c r="H157" s="15"/>
      <c r="I157" s="6"/>
      <c r="J157" s="6"/>
      <c r="K157" s="6"/>
      <c r="L157" s="6"/>
      <c r="M157" s="6"/>
      <c r="N157" s="6"/>
      <c r="O157" s="191"/>
      <c r="P157" s="191"/>
      <c r="Q157" s="191"/>
      <c r="R157" s="191"/>
      <c r="S157" s="191"/>
      <c r="T157" s="191"/>
      <c r="W157" s="444"/>
    </row>
    <row r="158" spans="1:23" ht="17.25" customHeight="1">
      <c r="A158" s="62" t="s">
        <v>539</v>
      </c>
      <c r="B158" s="62"/>
      <c r="C158" s="62"/>
      <c r="D158" s="62"/>
      <c r="E158" s="62"/>
      <c r="F158" s="62"/>
      <c r="G158" s="107"/>
      <c r="H158" s="15"/>
      <c r="I158" s="6"/>
      <c r="J158" s="6"/>
      <c r="K158" s="6"/>
      <c r="L158" s="6"/>
      <c r="M158" s="6"/>
      <c r="N158" s="6"/>
      <c r="O158" s="191"/>
      <c r="P158" s="191"/>
      <c r="Q158" s="191"/>
      <c r="R158" s="191"/>
      <c r="S158" s="191"/>
      <c r="T158" s="191"/>
      <c r="W158" s="444"/>
    </row>
    <row r="159" spans="1:23" ht="18" customHeight="1">
      <c r="A159" s="20"/>
      <c r="B159" s="108"/>
      <c r="C159" s="108"/>
      <c r="D159" s="108"/>
      <c r="E159" s="108"/>
      <c r="F159" s="108"/>
      <c r="G159" s="78"/>
      <c r="H159" s="15"/>
      <c r="I159" s="6"/>
      <c r="J159" s="6"/>
      <c r="K159" s="6"/>
      <c r="L159" s="6"/>
      <c r="M159" s="6"/>
      <c r="N159" s="6"/>
      <c r="O159" s="191"/>
      <c r="P159" s="191"/>
      <c r="Q159" s="191"/>
      <c r="R159" s="191"/>
      <c r="S159" s="191"/>
      <c r="T159" s="191"/>
      <c r="W159" s="444"/>
    </row>
    <row r="160" spans="1:23" ht="17.25" customHeight="1">
      <c r="A160" s="51" t="s">
        <v>578</v>
      </c>
      <c r="B160" s="108"/>
      <c r="C160" s="108"/>
      <c r="D160" s="108"/>
      <c r="E160" s="108"/>
      <c r="F160" s="108"/>
      <c r="G160" s="78"/>
      <c r="H160" s="15"/>
      <c r="I160" s="6"/>
      <c r="J160" s="6"/>
      <c r="K160" s="6"/>
      <c r="L160" s="6"/>
      <c r="M160" s="6"/>
      <c r="N160" s="6"/>
      <c r="O160" s="191"/>
      <c r="P160" s="191"/>
      <c r="Q160" s="191"/>
      <c r="R160" s="191"/>
      <c r="S160" s="191"/>
      <c r="T160" s="191"/>
      <c r="W160" s="444"/>
    </row>
    <row r="161" spans="1:23" ht="17.25" customHeight="1">
      <c r="A161" s="51" t="s">
        <v>502</v>
      </c>
      <c r="B161" s="108"/>
      <c r="C161" s="108"/>
      <c r="D161" s="108"/>
      <c r="E161" s="108"/>
      <c r="F161" s="108"/>
      <c r="G161" s="78"/>
      <c r="H161" s="15"/>
      <c r="I161" s="6"/>
      <c r="J161" s="6"/>
      <c r="K161" s="6"/>
      <c r="L161" s="6"/>
      <c r="M161" s="6"/>
      <c r="N161" s="6"/>
      <c r="O161" s="191"/>
      <c r="P161" s="191"/>
      <c r="Q161" s="191"/>
      <c r="R161" s="191"/>
      <c r="S161" s="191"/>
      <c r="T161" s="191"/>
      <c r="W161" s="444"/>
    </row>
    <row r="162" spans="1:23" ht="17.25" customHeight="1">
      <c r="A162" s="108"/>
      <c r="B162" s="108"/>
      <c r="C162" s="108"/>
      <c r="D162" s="108"/>
      <c r="E162" s="108"/>
      <c r="F162" s="108"/>
      <c r="G162" s="78"/>
      <c r="H162" s="15"/>
      <c r="I162" s="6"/>
      <c r="J162" s="6"/>
      <c r="K162" s="6"/>
      <c r="L162" s="6"/>
      <c r="M162" s="6"/>
      <c r="N162" s="6"/>
      <c r="O162" s="191"/>
      <c r="P162" s="191"/>
      <c r="Q162" s="191"/>
      <c r="R162" s="191"/>
      <c r="S162" s="191"/>
      <c r="T162" s="191"/>
      <c r="W162" s="444"/>
    </row>
    <row r="163" spans="1:23" ht="18" customHeight="1">
      <c r="A163" s="66" t="s">
        <v>540</v>
      </c>
      <c r="B163" s="109"/>
      <c r="C163" s="110"/>
      <c r="D163" s="110"/>
      <c r="E163" s="65"/>
      <c r="F163" s="65"/>
      <c r="G163" s="65"/>
      <c r="H163" s="15"/>
      <c r="I163" s="6"/>
      <c r="J163" s="6"/>
      <c r="K163" s="6"/>
      <c r="L163" s="6"/>
      <c r="M163" s="6"/>
      <c r="N163" s="6"/>
      <c r="O163" s="191"/>
      <c r="P163" s="191"/>
      <c r="Q163" s="191"/>
      <c r="R163" s="191"/>
      <c r="S163" s="191"/>
      <c r="T163" s="191"/>
      <c r="W163" s="444"/>
    </row>
    <row r="164" spans="1:23" ht="15" customHeight="1">
      <c r="A164" s="111"/>
      <c r="B164" s="111"/>
      <c r="C164" s="21"/>
      <c r="D164" s="21"/>
      <c r="E164" s="112"/>
      <c r="F164" s="110"/>
      <c r="G164" s="110"/>
      <c r="H164" s="16"/>
      <c r="I164" s="6"/>
      <c r="J164" s="6"/>
      <c r="K164" s="6"/>
      <c r="L164" s="6"/>
      <c r="M164" s="6"/>
      <c r="N164" s="6"/>
      <c r="O164" s="191"/>
      <c r="P164" s="191"/>
      <c r="Q164" s="191"/>
      <c r="R164" s="191"/>
      <c r="S164" s="191"/>
      <c r="T164" s="191"/>
      <c r="W164" s="444"/>
    </row>
    <row r="165" spans="1:23" ht="36" customHeight="1">
      <c r="A165" s="365" t="s">
        <v>498</v>
      </c>
      <c r="B165" s="365"/>
      <c r="C165" s="365" t="s">
        <v>503</v>
      </c>
      <c r="D165" s="365"/>
      <c r="E165" s="113" t="s">
        <v>446</v>
      </c>
      <c r="F165" s="114"/>
      <c r="G165" s="65"/>
      <c r="H165" s="15"/>
      <c r="I165" s="6"/>
      <c r="J165" s="6"/>
      <c r="K165" s="6"/>
      <c r="L165" s="6"/>
      <c r="M165" s="6"/>
      <c r="N165" s="6"/>
      <c r="O165" s="191"/>
      <c r="P165" s="191"/>
      <c r="Q165" s="191"/>
      <c r="R165" s="191"/>
      <c r="S165" s="191"/>
      <c r="T165" s="191"/>
      <c r="W165" s="444"/>
    </row>
    <row r="166" spans="1:23" ht="18" customHeight="1">
      <c r="A166" s="257" t="s">
        <v>499</v>
      </c>
      <c r="B166" s="115" t="str">
        <f>IF(C172="Cₚ &lt; 0,40","Cₚ &lt; 0,40 ✓", "Cₚ &lt; 0,40")</f>
        <v>Cₚ &lt; 0,40</v>
      </c>
      <c r="C166" s="439" t="str" cm="1">
        <f t="array" ref="C166">tc_petit_040</f>
        <v>-</v>
      </c>
      <c r="D166" s="439"/>
      <c r="E166" s="373" t="s">
        <v>501</v>
      </c>
      <c r="F166" s="65"/>
      <c r="G166" s="65"/>
      <c r="H166" s="15"/>
      <c r="I166" s="6"/>
      <c r="J166" s="6"/>
      <c r="K166" s="6"/>
      <c r="L166" s="6"/>
      <c r="M166" s="6"/>
      <c r="N166" s="6"/>
      <c r="O166" s="191"/>
      <c r="P166" s="191"/>
      <c r="Q166" s="191"/>
      <c r="R166" s="191"/>
      <c r="S166" s="191"/>
      <c r="T166" s="191"/>
      <c r="W166" s="444"/>
    </row>
    <row r="167" spans="1:23" ht="60" customHeight="1">
      <c r="A167" s="356" t="str">
        <f>IF(D141="-","",IF(D141&lt;0.4,"Recommandée",""))</f>
        <v/>
      </c>
      <c r="B167" s="356"/>
      <c r="C167" s="440"/>
      <c r="D167" s="440"/>
      <c r="E167" s="374"/>
      <c r="F167" s="65"/>
      <c r="G167" s="65"/>
      <c r="H167" s="15"/>
      <c r="I167" s="6"/>
      <c r="J167" s="6"/>
      <c r="K167" s="6"/>
      <c r="L167" s="6"/>
      <c r="M167" s="6"/>
      <c r="N167" s="6"/>
      <c r="O167" s="191"/>
      <c r="P167" s="191"/>
      <c r="Q167" s="191"/>
      <c r="R167" s="191"/>
      <c r="S167" s="191"/>
      <c r="T167" s="191"/>
      <c r="W167" s="444"/>
    </row>
    <row r="168" spans="1:23" ht="19.5" customHeight="1">
      <c r="A168" s="257" t="s">
        <v>499</v>
      </c>
      <c r="B168" s="115" t="str">
        <f>IF(C172="Cₚ ≥ 0,40","Cₚ ≥ 0,40 ✓", "Cₚ ≥ 0,40")</f>
        <v>Cₚ ≥ 0,40</v>
      </c>
      <c r="C168" s="441" t="str" cm="1">
        <f t="array" ref="C168">tc_grand_040</f>
        <v>-</v>
      </c>
      <c r="D168" s="441"/>
      <c r="E168" s="422" t="s">
        <v>571</v>
      </c>
      <c r="F168" s="65"/>
      <c r="G168" s="65"/>
      <c r="H168" s="15"/>
      <c r="I168" s="6"/>
      <c r="J168" s="6"/>
      <c r="K168" s="6"/>
      <c r="L168" s="6"/>
      <c r="M168" s="6"/>
      <c r="N168" s="6"/>
      <c r="O168" s="191"/>
      <c r="P168" s="191"/>
      <c r="Q168" s="191"/>
      <c r="R168" s="191"/>
      <c r="S168" s="191"/>
      <c r="T168" s="191"/>
      <c r="W168" s="444"/>
    </row>
    <row r="169" spans="1:23" ht="57.75" customHeight="1">
      <c r="A169" s="356" t="str">
        <f>IF(D141="-","",IF(D141&gt;=0.4,"Recommandée",""))</f>
        <v/>
      </c>
      <c r="B169" s="356"/>
      <c r="C169" s="440"/>
      <c r="D169" s="440"/>
      <c r="E169" s="423"/>
      <c r="F169" s="65"/>
      <c r="G169" s="65"/>
      <c r="H169" s="15"/>
      <c r="I169" s="6"/>
      <c r="J169" s="6"/>
      <c r="K169" s="6"/>
      <c r="L169" s="6"/>
      <c r="M169" s="6"/>
      <c r="N169" s="6"/>
      <c r="O169" s="191"/>
      <c r="P169" s="191"/>
      <c r="Q169" s="191"/>
      <c r="R169" s="191"/>
      <c r="S169" s="191"/>
      <c r="T169" s="191"/>
      <c r="W169" s="444"/>
    </row>
    <row r="170" spans="1:23" ht="15" customHeight="1">
      <c r="A170" s="427" t="str">
        <f>IF(C172="Autre équation","Autre équation ✓", "Autre équation")</f>
        <v>Autre équation</v>
      </c>
      <c r="B170" s="427"/>
      <c r="C170" s="448"/>
      <c r="D170" s="449"/>
      <c r="E170" s="424"/>
      <c r="F170" s="358" t="str">
        <f>IF(AND(C172="Autre équation",C170&lt;10,C170&lt;&gt;""),"Attention: le temps de concentration ne doit pas être inférieur à 10 minutes.",IF(AND(C172="Autre équation",C170&gt;1440),"Attention: le temps de concentration ne doit pas être supérieur à 24 heures (1440 minutes).",""))</f>
        <v/>
      </c>
      <c r="G170" s="358"/>
      <c r="H170" s="6"/>
      <c r="I170" s="6"/>
      <c r="J170" s="6"/>
      <c r="K170" s="6"/>
      <c r="L170" s="6"/>
      <c r="M170" s="6"/>
      <c r="N170" s="6"/>
      <c r="O170" s="191"/>
      <c r="P170" s="191"/>
      <c r="Q170" s="191"/>
      <c r="R170" s="191"/>
      <c r="S170" s="191"/>
      <c r="T170" s="191"/>
      <c r="W170" s="444"/>
    </row>
    <row r="171" spans="1:23" ht="37.5" customHeight="1">
      <c r="A171" s="425"/>
      <c r="B171" s="425"/>
      <c r="C171" s="450"/>
      <c r="D171" s="451"/>
      <c r="E171" s="425"/>
      <c r="F171" s="358"/>
      <c r="G171" s="358"/>
      <c r="H171" s="6"/>
      <c r="I171" s="6"/>
      <c r="J171" s="6"/>
      <c r="K171" s="6"/>
      <c r="L171" s="6"/>
      <c r="M171" s="6"/>
      <c r="N171" s="6"/>
      <c r="O171" s="191"/>
      <c r="P171" s="191"/>
      <c r="Q171" s="191"/>
      <c r="R171" s="191"/>
      <c r="S171" s="191"/>
      <c r="T171" s="191"/>
      <c r="W171" s="444"/>
    </row>
    <row r="172" spans="1:23" ht="18" customHeight="1">
      <c r="A172" s="398" t="s">
        <v>500</v>
      </c>
      <c r="B172" s="398"/>
      <c r="C172" s="366"/>
      <c r="D172" s="366"/>
      <c r="E172" s="366"/>
      <c r="F172" s="358" t="str">
        <f>IF(AND(OR(C172="Cₚ &lt; 0,40",C172="Cₚ ≥ 0,40"),C173=10),"Le temps de concentration a été fixé au minimum de 10 minutes.",IF(AND(C172="Cₚ &lt; 0,40",D141&lt;=0.2,E156&lt;0.1),"La pente «85-10» utilisée est de 0,1% (condition de pente minimum).",IF(AND(C172="Cₚ &lt; 0,40",D141&lt;0.4,D141&gt;0.2,E156&lt;0.5),"La pente «85-10» utilisée est de 0,5% (condition de pente minimum).",IF(AND(D141&gt;0.37,D141&lt;0.43,C172&lt;&gt;"Autre équation"),"Le coefficient  Cₚ est près du point de changement (0,40). Songer à tester les deux équations de temps de concentration.",""))))</f>
        <v/>
      </c>
      <c r="G172" s="358"/>
      <c r="H172" s="17"/>
      <c r="I172" s="6"/>
      <c r="J172" s="6"/>
      <c r="K172" s="6"/>
      <c r="L172" s="6"/>
      <c r="M172" s="6"/>
      <c r="N172" s="6"/>
      <c r="O172" s="191" t="s">
        <v>598</v>
      </c>
      <c r="P172" s="191" t="s">
        <v>599</v>
      </c>
      <c r="Q172" s="191" t="s">
        <v>600</v>
      </c>
      <c r="R172" s="191"/>
      <c r="S172" s="191"/>
      <c r="T172" s="191"/>
      <c r="W172" s="444"/>
    </row>
    <row r="173" spans="1:23" ht="18" customHeight="1">
      <c r="A173" s="399"/>
      <c r="B173" s="399"/>
      <c r="C173" s="426" t="str">
        <f>IF(C172="Cₚ &lt; 0,40",C166,IF(C172="Cₚ ≥ 0,40",C168,IF(C172="Autre équation",C170,"-")))</f>
        <v>-</v>
      </c>
      <c r="D173" s="426"/>
      <c r="E173" s="426"/>
      <c r="F173" s="358"/>
      <c r="G173" s="358"/>
      <c r="H173" s="6"/>
      <c r="I173" s="6"/>
      <c r="J173" s="6"/>
      <c r="K173" s="6"/>
      <c r="L173" s="6"/>
      <c r="M173" s="6"/>
      <c r="N173" s="6"/>
      <c r="O173" s="191"/>
      <c r="P173" s="191"/>
      <c r="Q173" s="191"/>
      <c r="R173" s="191"/>
      <c r="S173" s="191"/>
      <c r="T173" s="191"/>
      <c r="W173" s="444"/>
    </row>
    <row r="174" spans="1:23">
      <c r="A174" s="116"/>
      <c r="B174" s="117"/>
      <c r="C174" s="118"/>
      <c r="D174" s="118"/>
      <c r="E174" s="32"/>
      <c r="F174" s="21"/>
      <c r="G174" s="67"/>
      <c r="H174" s="6"/>
      <c r="I174" s="6"/>
      <c r="J174" s="6"/>
      <c r="K174" s="6"/>
      <c r="L174" s="6"/>
      <c r="M174" s="6"/>
      <c r="N174" s="6"/>
      <c r="O174" s="191"/>
      <c r="P174" s="191"/>
      <c r="Q174" s="191"/>
      <c r="R174" s="191"/>
      <c r="S174" s="191"/>
      <c r="T174" s="191"/>
      <c r="W174" s="444"/>
    </row>
    <row r="175" spans="1:23">
      <c r="A175" s="117"/>
      <c r="B175" s="117"/>
      <c r="C175" s="119"/>
      <c r="D175" s="120"/>
      <c r="E175" s="32"/>
      <c r="F175" s="20"/>
      <c r="G175" s="67"/>
      <c r="H175" s="6"/>
      <c r="I175" s="6"/>
      <c r="J175" s="6"/>
      <c r="K175" s="6"/>
      <c r="L175" s="6"/>
      <c r="M175" s="6"/>
      <c r="N175" s="6"/>
      <c r="O175" s="191"/>
      <c r="P175" s="191"/>
      <c r="Q175" s="191"/>
      <c r="R175" s="191"/>
      <c r="S175" s="191"/>
      <c r="T175" s="191"/>
      <c r="W175" s="444"/>
    </row>
    <row r="176" spans="1:23" ht="15" customHeight="1">
      <c r="A176" s="117"/>
      <c r="B176" s="117"/>
      <c r="C176" s="119"/>
      <c r="D176" s="121"/>
      <c r="E176" s="121"/>
      <c r="F176" s="121"/>
      <c r="G176" s="67"/>
      <c r="H176" s="6"/>
      <c r="I176" s="6"/>
      <c r="J176" s="6"/>
      <c r="K176" s="6"/>
      <c r="L176" s="6"/>
      <c r="M176" s="6"/>
      <c r="N176" s="6"/>
      <c r="O176" s="191"/>
      <c r="P176" s="191"/>
      <c r="Q176" s="191"/>
      <c r="R176" s="191"/>
      <c r="S176" s="191"/>
      <c r="T176" s="191"/>
      <c r="W176" s="444"/>
    </row>
    <row r="177" spans="1:23">
      <c r="A177" s="117"/>
      <c r="B177" s="117"/>
      <c r="C177" s="120"/>
      <c r="D177" s="121"/>
      <c r="E177" s="121"/>
      <c r="F177" s="121"/>
      <c r="G177" s="67"/>
      <c r="H177" s="6"/>
      <c r="I177" s="6"/>
      <c r="J177" s="6"/>
      <c r="K177" s="6"/>
      <c r="L177" s="6"/>
      <c r="M177" s="6"/>
      <c r="N177" s="6"/>
      <c r="O177" s="191"/>
      <c r="P177" s="191"/>
      <c r="Q177" s="191"/>
      <c r="R177" s="191"/>
      <c r="S177" s="191"/>
      <c r="T177" s="191"/>
      <c r="W177" s="444"/>
    </row>
    <row r="178" spans="1:23">
      <c r="A178" s="75"/>
      <c r="B178" s="95"/>
      <c r="C178" s="67"/>
      <c r="D178" s="76"/>
      <c r="E178" s="121"/>
      <c r="F178" s="121"/>
      <c r="G178" s="67"/>
      <c r="H178" s="6"/>
      <c r="I178" s="6"/>
      <c r="J178" s="6"/>
      <c r="K178" s="6"/>
      <c r="L178" s="6"/>
      <c r="M178" s="6"/>
      <c r="N178" s="6"/>
      <c r="O178" s="191"/>
      <c r="P178" s="191"/>
      <c r="Q178" s="191"/>
      <c r="R178" s="191"/>
      <c r="S178" s="191"/>
      <c r="T178" s="191"/>
      <c r="W178" s="444"/>
    </row>
    <row r="179" spans="1:23" ht="25.5">
      <c r="A179" s="346" t="s">
        <v>535</v>
      </c>
      <c r="B179" s="346"/>
      <c r="C179" s="346"/>
      <c r="D179" s="346"/>
      <c r="E179" s="346"/>
      <c r="F179" s="346"/>
      <c r="G179" s="346"/>
      <c r="H179" s="6"/>
      <c r="I179" s="6"/>
      <c r="J179" s="6"/>
      <c r="K179" s="6"/>
      <c r="L179" s="6"/>
      <c r="M179" s="6"/>
      <c r="N179" s="6"/>
      <c r="O179" s="191"/>
      <c r="P179" s="191"/>
      <c r="Q179" s="191"/>
      <c r="R179" s="191"/>
      <c r="S179" s="191"/>
      <c r="T179" s="191"/>
      <c r="W179" s="444"/>
    </row>
    <row r="180" spans="1:23">
      <c r="A180" s="21"/>
      <c r="B180" s="21"/>
      <c r="C180" s="21"/>
      <c r="D180" s="21"/>
      <c r="E180" s="21"/>
      <c r="F180" s="21"/>
      <c r="G180" s="21"/>
      <c r="H180" s="6"/>
      <c r="I180" s="6"/>
      <c r="J180" s="6"/>
      <c r="K180" s="6"/>
      <c r="L180" s="6"/>
      <c r="M180" s="6"/>
      <c r="N180" s="6"/>
      <c r="O180" s="191"/>
      <c r="P180" s="191"/>
      <c r="Q180" s="191"/>
      <c r="R180" s="191"/>
      <c r="S180" s="191"/>
      <c r="T180" s="191"/>
      <c r="W180" s="444"/>
    </row>
    <row r="181" spans="1:23" ht="24.95" customHeight="1">
      <c r="A181" s="62" t="s">
        <v>541</v>
      </c>
      <c r="B181" s="62"/>
      <c r="C181" s="62"/>
      <c r="D181" s="62"/>
      <c r="E181" s="62"/>
      <c r="F181" s="62"/>
      <c r="G181" s="20"/>
      <c r="H181" s="6"/>
      <c r="I181" s="6"/>
      <c r="J181" s="6"/>
      <c r="K181" s="6"/>
      <c r="L181" s="6"/>
      <c r="M181" s="6"/>
      <c r="N181" s="6"/>
      <c r="O181" s="191"/>
      <c r="P181" s="191"/>
      <c r="Q181" s="191"/>
      <c r="R181" s="191"/>
      <c r="S181" s="191"/>
      <c r="T181" s="191"/>
      <c r="W181" s="444"/>
    </row>
    <row r="182" spans="1:23" ht="18" customHeight="1">
      <c r="A182" s="62"/>
      <c r="B182" s="62"/>
      <c r="C182" s="62"/>
      <c r="D182" s="62"/>
      <c r="E182" s="62"/>
      <c r="F182" s="62"/>
      <c r="G182" s="78"/>
      <c r="H182" s="6"/>
      <c r="I182" s="6"/>
      <c r="J182" s="6"/>
      <c r="K182" s="6"/>
      <c r="L182" s="6"/>
      <c r="M182" s="6"/>
      <c r="N182" s="6"/>
      <c r="O182" s="191"/>
      <c r="P182" s="191"/>
      <c r="Q182" s="191"/>
      <c r="R182" s="191"/>
      <c r="S182" s="191"/>
      <c r="T182" s="191"/>
      <c r="W182" s="444"/>
    </row>
    <row r="183" spans="1:23" ht="18" customHeight="1">
      <c r="A183" s="62" t="s">
        <v>542</v>
      </c>
      <c r="B183" s="62"/>
      <c r="C183" s="62"/>
      <c r="D183" s="62"/>
      <c r="E183" s="62"/>
      <c r="F183" s="62"/>
      <c r="G183" s="78"/>
      <c r="H183" s="6"/>
      <c r="I183" s="6"/>
      <c r="J183" s="6"/>
      <c r="K183" s="6"/>
      <c r="L183" s="6"/>
      <c r="M183" s="6"/>
      <c r="N183" s="6"/>
      <c r="O183" s="191"/>
      <c r="P183" s="191"/>
      <c r="Q183" s="191"/>
      <c r="R183" s="191"/>
      <c r="S183" s="191"/>
      <c r="T183" s="191"/>
      <c r="W183" s="444"/>
    </row>
    <row r="184" spans="1:23" ht="18" customHeight="1">
      <c r="A184" s="62"/>
      <c r="B184" s="62"/>
      <c r="C184" s="62"/>
      <c r="D184" s="62"/>
      <c r="E184" s="62"/>
      <c r="F184" s="62"/>
      <c r="G184" s="78"/>
      <c r="H184" s="6"/>
      <c r="I184" s="6"/>
      <c r="J184" s="6"/>
      <c r="K184" s="6"/>
      <c r="L184" s="6"/>
      <c r="M184" s="6"/>
      <c r="N184" s="6"/>
      <c r="O184" s="191"/>
      <c r="P184" s="191"/>
      <c r="Q184" s="191"/>
      <c r="R184" s="191"/>
      <c r="S184" s="191"/>
      <c r="T184" s="191"/>
      <c r="W184" s="444"/>
    </row>
    <row r="185" spans="1:23" ht="18" customHeight="1">
      <c r="A185" s="318" t="s">
        <v>572</v>
      </c>
      <c r="B185" s="318"/>
      <c r="C185" s="318"/>
      <c r="D185" s="318"/>
      <c r="E185" s="122"/>
      <c r="F185" s="62"/>
      <c r="G185" s="78"/>
      <c r="H185" s="6"/>
      <c r="I185" s="6"/>
      <c r="J185" s="6"/>
      <c r="K185" s="6"/>
      <c r="L185" s="6"/>
      <c r="M185" s="6"/>
      <c r="N185" s="6"/>
      <c r="O185" s="191"/>
      <c r="P185" s="191"/>
      <c r="Q185" s="191"/>
      <c r="R185" s="191"/>
      <c r="S185" s="191"/>
      <c r="T185" s="191"/>
      <c r="W185" s="444"/>
    </row>
    <row r="186" spans="1:23" ht="18" customHeight="1">
      <c r="A186" s="123" t="s">
        <v>634</v>
      </c>
      <c r="B186" s="62"/>
      <c r="C186" s="62"/>
      <c r="D186" s="62"/>
      <c r="E186" s="62"/>
      <c r="F186" s="62"/>
      <c r="G186" s="78"/>
      <c r="H186" s="6"/>
      <c r="I186" s="6"/>
      <c r="J186" s="6"/>
      <c r="K186" s="6"/>
      <c r="L186" s="6"/>
      <c r="M186" s="6"/>
      <c r="N186" s="6"/>
      <c r="O186" s="191"/>
      <c r="P186" s="191"/>
      <c r="Q186" s="191"/>
      <c r="R186" s="191"/>
      <c r="S186" s="191"/>
      <c r="T186" s="191"/>
      <c r="W186" s="444"/>
    </row>
    <row r="187" spans="1:23" ht="18" customHeight="1">
      <c r="A187" s="62"/>
      <c r="B187" s="62"/>
      <c r="C187" s="62"/>
      <c r="D187" s="62"/>
      <c r="E187" s="62"/>
      <c r="F187" s="62"/>
      <c r="G187" s="78"/>
      <c r="H187" s="6"/>
      <c r="I187" s="6"/>
      <c r="J187" s="6"/>
      <c r="K187" s="6"/>
      <c r="L187" s="6"/>
      <c r="M187" s="6"/>
      <c r="N187" s="6"/>
      <c r="O187" s="191"/>
      <c r="P187" s="191"/>
      <c r="Q187" s="191"/>
      <c r="R187" s="191"/>
      <c r="S187" s="191"/>
      <c r="T187" s="191"/>
      <c r="W187" s="444"/>
    </row>
    <row r="188" spans="1:23" ht="21" customHeight="1">
      <c r="A188" s="66" t="s">
        <v>606</v>
      </c>
      <c r="B188" s="76"/>
      <c r="C188" s="76"/>
      <c r="D188" s="76"/>
      <c r="E188" s="76"/>
      <c r="F188" s="124"/>
      <c r="G188" s="76"/>
      <c r="H188" s="431" t="s">
        <v>590</v>
      </c>
      <c r="I188" s="431"/>
      <c r="J188" s="431"/>
      <c r="K188" s="431"/>
      <c r="L188" s="431"/>
      <c r="M188" s="431"/>
      <c r="N188" s="431"/>
      <c r="O188" s="199"/>
      <c r="P188" s="199"/>
      <c r="Q188" s="199"/>
      <c r="R188" s="199"/>
      <c r="S188" s="199"/>
      <c r="T188" s="191"/>
    </row>
    <row r="189" spans="1:23" ht="12.75" customHeight="1">
      <c r="A189" s="125"/>
      <c r="B189" s="125"/>
      <c r="C189" s="126"/>
      <c r="D189" s="126"/>
      <c r="E189" s="126"/>
      <c r="F189" s="126"/>
      <c r="G189" s="126"/>
      <c r="H189" s="430"/>
      <c r="I189" s="430"/>
      <c r="J189" s="430"/>
      <c r="K189" s="430"/>
      <c r="L189" s="430"/>
      <c r="M189" s="430"/>
      <c r="N189" s="430"/>
      <c r="O189" s="199"/>
      <c r="P189" s="199"/>
      <c r="Q189" s="199"/>
      <c r="R189" s="199"/>
      <c r="S189" s="199"/>
      <c r="T189" s="191"/>
      <c r="W189" s="429"/>
    </row>
    <row r="190" spans="1:23" ht="36" customHeight="1">
      <c r="A190" s="352" t="s">
        <v>509</v>
      </c>
      <c r="B190" s="352"/>
      <c r="C190" s="127" t="str" cm="1">
        <f t="array" ref="C190">IF(ISNA(stat_select),"Station 1",IF(stat_select=1,"Station 1 ✓","Station 1"))</f>
        <v>Station 1</v>
      </c>
      <c r="D190" s="127" t="str" cm="1">
        <f t="array" ref="D190">IF(ISNA(stat_select),"Station 2",IF(stat_select=2,"Station 2 ✓","Station 2"))</f>
        <v>Station 2</v>
      </c>
      <c r="E190" s="127" t="str" cm="1">
        <f t="array" ref="E190">IF(ISNA(stat_select),"Station 3",IF(stat_select=3,"Station 3 ✓","Station 3"))</f>
        <v>Station 3</v>
      </c>
      <c r="F190" s="127" t="str" cm="1">
        <f t="array" ref="F190">IF(ISNA(stat_select),"Station 4",IF(stat_select=4,"Station 4 ✓","Station 4"))</f>
        <v>Station 4</v>
      </c>
      <c r="G190" s="127" t="str" cm="1">
        <f t="array" ref="G190">IF(ISNA(stat_select),"Station 5",IF(stat_select=5,"Station 5 ✓","Station 5"))</f>
        <v>Station 5</v>
      </c>
      <c r="H190" s="431"/>
      <c r="I190" s="431"/>
      <c r="J190" s="431"/>
      <c r="K190" s="431"/>
      <c r="L190" s="431"/>
      <c r="M190" s="431"/>
      <c r="N190" s="431"/>
      <c r="O190" s="199"/>
      <c r="P190" s="199"/>
      <c r="Q190" s="199"/>
      <c r="R190" s="199"/>
      <c r="S190" s="199"/>
      <c r="T190" s="191"/>
      <c r="W190" s="429"/>
    </row>
    <row r="191" spans="1:23" ht="15" customHeight="1">
      <c r="A191" s="333" t="s">
        <v>406</v>
      </c>
      <c r="B191" s="334"/>
      <c r="C191" s="212" t="str" cm="1">
        <f t="array" ref="C191">IF(OR($C$22="",$C$23=""),"-",nom_station_1)</f>
        <v>-</v>
      </c>
      <c r="D191" s="214" t="str" cm="1">
        <f t="array" ref="D191">IF(OR($C$22="",$C$23=""),"-",nom_station_2)</f>
        <v>-</v>
      </c>
      <c r="E191" s="214" t="str" cm="1">
        <f t="array" ref="E191">IF(OR($C$22="",$C$23=""),"-",nom_station_3)</f>
        <v>-</v>
      </c>
      <c r="F191" s="214" t="str" cm="1">
        <f t="array" ref="F191">IF(OR($C$22="",$C$23=""),"-",nom_station_4)</f>
        <v>-</v>
      </c>
      <c r="G191" s="208" t="str" cm="1">
        <f t="array" ref="G191">IF(OR($C$22="",$C$23=""),"-",nom_station_5)</f>
        <v>-</v>
      </c>
      <c r="H191" s="6"/>
      <c r="I191" s="6"/>
      <c r="J191" s="6"/>
      <c r="K191" s="6"/>
      <c r="L191" s="6"/>
      <c r="M191" s="6"/>
      <c r="N191" s="6"/>
      <c r="O191" s="245" t="str">
        <f t="shared" ref="O191" si="1">C191</f>
        <v>-</v>
      </c>
      <c r="P191" s="245" t="str">
        <f t="shared" ref="P191" si="2">D191</f>
        <v>-</v>
      </c>
      <c r="Q191" s="245" t="str">
        <f t="shared" ref="Q191" si="3">E191</f>
        <v>-</v>
      </c>
      <c r="R191" s="245" t="str">
        <f t="shared" ref="R191" si="4">F191</f>
        <v>-</v>
      </c>
      <c r="S191" s="245" t="str">
        <f t="shared" ref="S191" si="5">G191</f>
        <v>-</v>
      </c>
      <c r="T191" s="245" t="s">
        <v>447</v>
      </c>
      <c r="U191" s="245" t="s">
        <v>449</v>
      </c>
      <c r="V191" s="245" t="s">
        <v>513</v>
      </c>
      <c r="W191" s="429"/>
    </row>
    <row r="192" spans="1:23" ht="15" customHeight="1">
      <c r="A192" s="322" t="s">
        <v>504</v>
      </c>
      <c r="B192" s="324"/>
      <c r="C192" s="212" t="str" cm="1">
        <f t="array" ref="C192">IF(OR($C$22="",$C$23=""),"-",numero_station_1)</f>
        <v>-</v>
      </c>
      <c r="D192" s="214" t="str" cm="1">
        <f t="array" ref="D192">IF(OR($C$22="",$C$23=""),"-",numero_station_2)</f>
        <v>-</v>
      </c>
      <c r="E192" s="214" t="str" cm="1">
        <f t="array" ref="E192">IF(OR($C$22="",$C$23=""),"-",numero_station_3)</f>
        <v>-</v>
      </c>
      <c r="F192" s="214" t="str" cm="1">
        <f t="array" ref="F192">IF(OR($C$22="",$C$23=""),"-",numero_station_4)</f>
        <v>-</v>
      </c>
      <c r="G192" s="208" t="str" cm="1">
        <f t="array" ref="G192">IF(OR($C$22="",$C$23=""),"-",numero_station_5)</f>
        <v>-</v>
      </c>
      <c r="H192" s="6"/>
      <c r="I192" s="6" t="s">
        <v>602</v>
      </c>
      <c r="J192" s="6"/>
      <c r="K192" s="6"/>
      <c r="L192" s="6"/>
      <c r="M192" s="6"/>
      <c r="N192" s="6"/>
      <c r="O192" s="199"/>
      <c r="P192" s="199"/>
      <c r="Q192" s="199"/>
      <c r="R192" s="199"/>
      <c r="S192" s="244"/>
      <c r="T192" s="191"/>
      <c r="W192" s="429"/>
    </row>
    <row r="193" spans="1:23" ht="15" customHeight="1">
      <c r="A193" s="333" t="s">
        <v>584</v>
      </c>
      <c r="B193" s="334"/>
      <c r="C193" s="213" t="str" cm="1">
        <f t="array" ref="C193">IF(OR($C$22="",$C$23=""),"-",I2560_station_1)</f>
        <v>-</v>
      </c>
      <c r="D193" s="215" t="str" cm="1">
        <f t="array" ref="D193">IF(OR($C$22="",$C$23=""),"-",I2560_station_2)</f>
        <v>-</v>
      </c>
      <c r="E193" s="215" t="str" cm="1">
        <f t="array" ref="E193">IF(OR($C$22="",$C$23=""),"-",I2560_station_3)</f>
        <v>-</v>
      </c>
      <c r="F193" s="215" t="str" cm="1">
        <f t="array" ref="F193">IF(OR($C$22="",$C$23=""),"-",I2560_station_4)</f>
        <v>-</v>
      </c>
      <c r="G193" s="209" t="str" cm="1">
        <f t="array" ref="G193">IF(OR($C$22="",$C$23=""),"-",I2560_station_5)</f>
        <v>-</v>
      </c>
      <c r="H193" s="6"/>
      <c r="I193" s="6"/>
      <c r="J193" s="6"/>
      <c r="K193" s="6"/>
      <c r="L193" s="6"/>
      <c r="M193" s="6"/>
      <c r="N193" s="6"/>
      <c r="O193" s="199"/>
      <c r="P193" s="199"/>
      <c r="Q193" s="199"/>
      <c r="R193" s="199"/>
      <c r="S193" s="199"/>
      <c r="T193" s="191"/>
      <c r="W193" s="429"/>
    </row>
    <row r="194" spans="1:23" ht="15" customHeight="1">
      <c r="A194" s="322" t="s">
        <v>505</v>
      </c>
      <c r="B194" s="324"/>
      <c r="C194" s="212" t="str" cm="1">
        <f t="array" ref="C194">IF(OR($C$22="",$C$23=""),"-",distance_station_1)</f>
        <v>-</v>
      </c>
      <c r="D194" s="214" t="str" cm="1">
        <f t="array" ref="D194">IF(OR($C$22="",$C$23=""),"-",distance_station_2)</f>
        <v>-</v>
      </c>
      <c r="E194" s="214" t="str" cm="1">
        <f t="array" ref="E194">IF(OR($C$22="",$C$23=""),"-",distance_station_3)</f>
        <v>-</v>
      </c>
      <c r="F194" s="214" t="str" cm="1">
        <f t="array" ref="F194">IF(OR($C$22="",$C$23=""),"-",distance_station_4)</f>
        <v>-</v>
      </c>
      <c r="G194" s="208" t="str" cm="1">
        <f t="array" ref="G194">IF(OR($C$22="",$C$23=""),"-",distance_station_5)</f>
        <v>-</v>
      </c>
      <c r="H194" s="6"/>
      <c r="I194" s="6"/>
      <c r="J194" s="6"/>
      <c r="K194" s="6"/>
      <c r="L194" s="6"/>
      <c r="M194" s="6"/>
      <c r="N194" s="6"/>
      <c r="O194" s="246"/>
      <c r="P194" s="199"/>
      <c r="Q194" s="199"/>
      <c r="R194" s="199"/>
      <c r="S194" s="244"/>
      <c r="T194" s="191"/>
      <c r="W194" s="429"/>
    </row>
    <row r="195" spans="1:23" ht="15" customHeight="1">
      <c r="A195" s="322" t="s">
        <v>506</v>
      </c>
      <c r="B195" s="324"/>
      <c r="C195" s="212" t="str" cm="1">
        <f t="array" ref="C195">IF(OR($C$22="",$C$23=""),"-",debut_station_1)</f>
        <v>-</v>
      </c>
      <c r="D195" s="214" t="str" cm="1">
        <f t="array" ref="D195">IF(OR($C$22="",$C$23=""),"-",debut_station_2)</f>
        <v>-</v>
      </c>
      <c r="E195" s="214" t="str" cm="1">
        <f t="array" ref="E195">IF(OR($C$22="",$C$23=""),"-",debut_station_3)</f>
        <v>-</v>
      </c>
      <c r="F195" s="214" t="str" cm="1">
        <f t="array" ref="F195">IF(OR($C$22="",$C$23=""),"-",debut_station_4)</f>
        <v>-</v>
      </c>
      <c r="G195" s="208" t="str" cm="1">
        <f t="array" ref="G195">IF(OR($C$22="",$C$23=""),"-",debut_station_5)</f>
        <v>-</v>
      </c>
      <c r="H195" s="6"/>
      <c r="I195" s="6"/>
      <c r="J195" s="6"/>
      <c r="K195" s="6"/>
      <c r="L195" s="6"/>
      <c r="M195" s="6"/>
      <c r="N195" s="6"/>
      <c r="O195" s="199"/>
      <c r="P195" s="199"/>
      <c r="Q195" s="199"/>
      <c r="R195" s="199"/>
      <c r="S195" s="199"/>
      <c r="T195" s="191"/>
      <c r="W195" s="429"/>
    </row>
    <row r="196" spans="1:23" ht="15" customHeight="1">
      <c r="A196" s="322" t="s">
        <v>507</v>
      </c>
      <c r="B196" s="324"/>
      <c r="C196" s="212" t="str" cm="1">
        <f t="array" ref="C196">IF(OR($C$22="",$C$23=""),"-",fin_station_1)</f>
        <v>-</v>
      </c>
      <c r="D196" s="214" t="str" cm="1">
        <f t="array" ref="D196">IF(OR($C$22="",$C$23=""),"-",fin_station_2)</f>
        <v>-</v>
      </c>
      <c r="E196" s="214" t="str" cm="1">
        <f t="array" ref="E196">IF(OR($C$22="",$C$23=""),"-",fin_station_3)</f>
        <v>-</v>
      </c>
      <c r="F196" s="214" t="str" cm="1">
        <f t="array" ref="F196">IF(OR($C$22="",$C$23=""),"-",fin_station_4)</f>
        <v>-</v>
      </c>
      <c r="G196" s="208" t="str" cm="1">
        <f t="array" ref="G196">IF(OR($C$22="",$C$23=""),"-",fin_station_5)</f>
        <v>-</v>
      </c>
      <c r="H196" s="6"/>
      <c r="I196" s="6"/>
      <c r="J196" s="6"/>
      <c r="K196" s="6"/>
      <c r="L196" s="6"/>
      <c r="M196" s="6"/>
      <c r="N196" s="6"/>
      <c r="O196" s="199"/>
      <c r="P196" s="199"/>
      <c r="Q196" s="199"/>
      <c r="R196" s="199"/>
      <c r="S196" s="199"/>
      <c r="T196" s="191"/>
      <c r="W196" s="429"/>
    </row>
    <row r="197" spans="1:23" ht="15" customHeight="1">
      <c r="A197" s="333" t="s">
        <v>585</v>
      </c>
      <c r="B197" s="334"/>
      <c r="C197" s="212" t="str" cm="1">
        <f t="array" ref="C197">IF(OR($C$22="",$C$23=""),"-",annees_station_1)</f>
        <v>-</v>
      </c>
      <c r="D197" s="214" t="str" cm="1">
        <f t="array" ref="D197">IF(OR($C$22="",$C$23=""),"-",annees_station_2)</f>
        <v>-</v>
      </c>
      <c r="E197" s="214" t="str" cm="1">
        <f t="array" ref="E197">IF(OR($C$22="",$C$23=""),"-",annees_station_3)</f>
        <v>-</v>
      </c>
      <c r="F197" s="214" t="str" cm="1">
        <f t="array" ref="F197">IF(OR($C$22="",$C$23=""),"-",annees_station_4)</f>
        <v>-</v>
      </c>
      <c r="G197" s="208" t="str" cm="1">
        <f t="array" ref="G197">IF(OR($C$22="",$C$23=""),"-",annees_station_5)</f>
        <v>-</v>
      </c>
      <c r="H197" s="6"/>
      <c r="I197" s="6"/>
      <c r="J197" s="6"/>
      <c r="K197" s="6"/>
      <c r="L197" s="6"/>
      <c r="M197" s="6"/>
      <c r="N197" s="6"/>
      <c r="O197" s="199"/>
      <c r="P197" s="199"/>
      <c r="Q197" s="199"/>
      <c r="R197" s="199"/>
      <c r="S197" s="199"/>
      <c r="T197" s="191"/>
      <c r="W197" s="429"/>
    </row>
    <row r="198" spans="1:23" ht="15" customHeight="1">
      <c r="A198" s="322" t="s">
        <v>508</v>
      </c>
      <c r="B198" s="324"/>
      <c r="C198" s="212" t="str" cm="1">
        <f t="array" ref="C198">IF(OR($C$22="",$C$23=""),"-",altitude_station_1)</f>
        <v>-</v>
      </c>
      <c r="D198" s="214" t="str" cm="1">
        <f t="array" ref="D198">IF(OR($C$22="",$C$23=""),"-",altitude_station_2)</f>
        <v>-</v>
      </c>
      <c r="E198" s="214" t="str" cm="1">
        <f t="array" ref="E198">IF(OR($C$22="",$C$23=""),"-",altitude_station_3)</f>
        <v>-</v>
      </c>
      <c r="F198" s="214" t="str" cm="1">
        <f t="array" ref="F198">IF(OR($C$22="",$C$23=""),"-",altitude_station_4)</f>
        <v>-</v>
      </c>
      <c r="G198" s="208" t="str" cm="1">
        <f t="array" ref="G198">IF(OR($C$22="",$C$23=""),"-",altitude_station_5)</f>
        <v>-</v>
      </c>
      <c r="H198" s="15"/>
      <c r="I198" s="6"/>
      <c r="J198" s="6"/>
      <c r="K198" s="6"/>
      <c r="L198" s="6"/>
      <c r="M198" s="6"/>
      <c r="N198" s="6"/>
      <c r="O198" s="199"/>
      <c r="P198" s="199"/>
      <c r="Q198" s="199"/>
      <c r="R198" s="199"/>
      <c r="S198" s="199"/>
      <c r="T198" s="191"/>
      <c r="W198" s="429"/>
    </row>
    <row r="199" spans="1:23" ht="18" customHeight="1">
      <c r="A199" s="20"/>
      <c r="B199" s="129"/>
      <c r="C199" s="130"/>
      <c r="D199" s="130"/>
      <c r="E199" s="130"/>
      <c r="F199" s="130"/>
      <c r="G199" s="130"/>
      <c r="H199" s="15"/>
      <c r="I199" s="6"/>
      <c r="J199" s="6"/>
      <c r="K199" s="6"/>
      <c r="L199" s="6"/>
      <c r="M199" s="6"/>
      <c r="N199" s="6"/>
      <c r="O199" s="199"/>
      <c r="P199" s="199"/>
      <c r="Q199" s="199"/>
      <c r="R199" s="199"/>
      <c r="S199" s="199"/>
      <c r="T199" s="191"/>
      <c r="W199" s="429"/>
    </row>
    <row r="200" spans="1:23" ht="18" customHeight="1">
      <c r="A200" s="62" t="s">
        <v>603</v>
      </c>
      <c r="B200" s="129"/>
      <c r="C200" s="130"/>
      <c r="D200" s="130"/>
      <c r="E200" s="130"/>
      <c r="F200" s="130"/>
      <c r="G200" s="236" t="s">
        <v>512</v>
      </c>
      <c r="H200" s="15"/>
      <c r="I200" s="6"/>
      <c r="J200" s="6"/>
      <c r="K200" s="6"/>
      <c r="L200" s="6"/>
      <c r="M200" s="6"/>
      <c r="N200" s="6"/>
      <c r="O200" s="199"/>
      <c r="P200" s="199"/>
      <c r="Q200" s="199"/>
      <c r="R200" s="199"/>
      <c r="S200" s="199"/>
      <c r="T200" s="191"/>
      <c r="W200" s="429"/>
    </row>
    <row r="201" spans="1:23" ht="24.75" customHeight="1">
      <c r="A201" s="74" t="s">
        <v>605</v>
      </c>
      <c r="B201" s="129"/>
      <c r="C201" s="130"/>
      <c r="D201" s="130"/>
      <c r="E201" s="130"/>
      <c r="F201" s="130"/>
      <c r="G201" s="130"/>
      <c r="H201" s="15"/>
      <c r="I201" s="6"/>
      <c r="J201" s="6"/>
      <c r="K201" s="6"/>
      <c r="L201" s="6"/>
      <c r="M201" s="6"/>
      <c r="N201" s="6"/>
      <c r="O201" s="199"/>
      <c r="P201" s="199"/>
      <c r="Q201" s="199"/>
      <c r="R201" s="199"/>
      <c r="S201" s="199"/>
      <c r="T201" s="191"/>
      <c r="W201" s="429"/>
    </row>
    <row r="202" spans="1:23" ht="15" customHeight="1">
      <c r="A202" s="362" t="s">
        <v>510</v>
      </c>
      <c r="B202" s="362"/>
      <c r="C202" s="363"/>
      <c r="D202" s="363"/>
      <c r="E202" s="130"/>
      <c r="F202" s="130"/>
      <c r="G202" s="130"/>
      <c r="H202" s="15"/>
      <c r="I202" s="6"/>
      <c r="J202" s="6"/>
      <c r="K202" s="6"/>
      <c r="L202" s="6"/>
      <c r="M202" s="6"/>
      <c r="N202" s="6"/>
      <c r="O202" s="199"/>
      <c r="P202" s="199"/>
      <c r="Q202" s="199"/>
      <c r="R202" s="199"/>
      <c r="S202" s="199"/>
      <c r="T202" s="191"/>
      <c r="W202" s="429"/>
    </row>
    <row r="203" spans="1:23" ht="31.5" customHeight="1">
      <c r="A203" s="400" t="s">
        <v>632</v>
      </c>
      <c r="B203" s="400"/>
      <c r="C203" s="366"/>
      <c r="D203" s="366"/>
      <c r="E203" s="130"/>
      <c r="F203" s="130"/>
      <c r="G203" s="130"/>
      <c r="H203" s="15"/>
      <c r="I203" s="6"/>
      <c r="J203" s="6"/>
      <c r="K203" s="6"/>
      <c r="L203" s="6"/>
      <c r="M203" s="6"/>
      <c r="N203" s="6"/>
      <c r="O203" s="199"/>
      <c r="P203" s="199"/>
      <c r="Q203" s="199"/>
      <c r="R203" s="199"/>
      <c r="S203" s="199"/>
      <c r="T203" s="191"/>
      <c r="W203" s="429"/>
    </row>
    <row r="204" spans="1:23" ht="12.75" customHeight="1">
      <c r="A204" s="129"/>
      <c r="B204" s="129"/>
      <c r="C204" s="130"/>
      <c r="D204" s="130"/>
      <c r="E204" s="130"/>
      <c r="F204" s="130"/>
      <c r="G204" s="130"/>
      <c r="H204" s="15"/>
      <c r="I204" s="6"/>
      <c r="J204" s="6"/>
      <c r="K204" s="6"/>
      <c r="L204" s="6"/>
      <c r="M204" s="6"/>
      <c r="N204" s="6"/>
      <c r="O204" s="199"/>
      <c r="P204" s="199"/>
      <c r="Q204" s="199"/>
      <c r="R204" s="199"/>
      <c r="S204" s="199"/>
      <c r="T204" s="191"/>
      <c r="W204" s="429"/>
    </row>
    <row r="205" spans="1:23" ht="12.75" customHeight="1">
      <c r="A205" s="66" t="s">
        <v>543</v>
      </c>
      <c r="B205" s="95"/>
      <c r="C205" s="95"/>
      <c r="D205" s="95"/>
      <c r="E205" s="95"/>
      <c r="F205" s="95"/>
      <c r="G205" s="130"/>
      <c r="H205" s="16"/>
      <c r="I205" s="6"/>
      <c r="J205" s="6"/>
      <c r="K205" s="6"/>
      <c r="L205" s="6"/>
      <c r="M205" s="6"/>
      <c r="N205" s="6"/>
      <c r="O205" s="199"/>
      <c r="P205" s="199"/>
      <c r="Q205" s="199"/>
      <c r="R205" s="199"/>
      <c r="S205" s="199"/>
      <c r="T205" s="191"/>
      <c r="W205" s="429"/>
    </row>
    <row r="206" spans="1:23" ht="12.75" customHeight="1">
      <c r="A206" s="131"/>
      <c r="B206" s="131"/>
      <c r="C206" s="132"/>
      <c r="D206" s="132"/>
      <c r="E206" s="132"/>
      <c r="F206" s="132"/>
      <c r="G206" s="130"/>
      <c r="H206" s="15"/>
      <c r="I206" s="6"/>
      <c r="J206" s="6"/>
      <c r="K206" s="6"/>
      <c r="L206" s="6"/>
      <c r="M206" s="6"/>
      <c r="N206" s="6"/>
      <c r="O206" s="199"/>
      <c r="P206" s="199"/>
      <c r="Q206" s="199"/>
      <c r="R206" s="199"/>
      <c r="S206" s="199"/>
      <c r="T206" s="191"/>
      <c r="W206" s="429"/>
    </row>
    <row r="207" spans="1:23" s="202" customFormat="1" ht="36" customHeight="1">
      <c r="A207" s="319" t="s">
        <v>448</v>
      </c>
      <c r="B207" s="319"/>
      <c r="C207" s="336" t="s">
        <v>609</v>
      </c>
      <c r="D207" s="336"/>
      <c r="E207" s="336"/>
      <c r="F207" s="336"/>
      <c r="G207" s="336"/>
      <c r="H207" s="15"/>
      <c r="I207" s="6"/>
      <c r="J207" s="6"/>
      <c r="K207" s="6"/>
      <c r="L207" s="6"/>
      <c r="M207" s="6"/>
      <c r="N207" s="6"/>
      <c r="O207" s="200"/>
      <c r="P207" s="200"/>
      <c r="Q207" s="200"/>
      <c r="R207" s="200"/>
      <c r="S207" s="200"/>
      <c r="T207" s="201"/>
      <c r="W207" s="429"/>
    </row>
    <row r="208" spans="1:23" s="202" customFormat="1" ht="36" customHeight="1">
      <c r="A208" s="320"/>
      <c r="B208" s="320"/>
      <c r="C208" s="335" t="str">
        <f>IF($C$203="Temps (t) en heures","✓ [t: heures]","[t: heures]")</f>
        <v>[t: heures]</v>
      </c>
      <c r="D208" s="335"/>
      <c r="E208" s="335"/>
      <c r="F208" s="335"/>
      <c r="G208" s="335"/>
      <c r="H208" s="15"/>
      <c r="I208" s="6"/>
      <c r="J208" s="6"/>
      <c r="K208" s="6"/>
      <c r="L208" s="6"/>
      <c r="M208" s="6"/>
      <c r="N208" s="6"/>
      <c r="O208" s="200"/>
      <c r="P208" s="200"/>
      <c r="Q208" s="200"/>
      <c r="R208" s="200"/>
      <c r="S208" s="200"/>
      <c r="T208" s="201"/>
      <c r="W208" s="429"/>
    </row>
    <row r="209" spans="1:23" ht="40.5" customHeight="1">
      <c r="A209" s="320"/>
      <c r="B209" s="320"/>
      <c r="C209" s="335" t="str">
        <f>IF($C$203="Temps (t) en minutes","✓ [t: minutes]","[t: minutes]")</f>
        <v>[t: minutes]</v>
      </c>
      <c r="D209" s="335"/>
      <c r="E209" s="335"/>
      <c r="F209" s="335"/>
      <c r="G209" s="335"/>
      <c r="H209" s="15"/>
      <c r="I209" s="6"/>
      <c r="J209" s="6"/>
      <c r="K209" s="6"/>
      <c r="L209" s="6"/>
      <c r="M209" s="6"/>
      <c r="N209" s="6"/>
      <c r="O209" s="199"/>
      <c r="P209" s="199"/>
      <c r="Q209" s="199"/>
      <c r="R209" s="199"/>
      <c r="S209" s="199"/>
      <c r="T209" s="191"/>
      <c r="W209" s="429"/>
    </row>
    <row r="210" spans="1:23" ht="18.75" customHeight="1">
      <c r="A210" s="320"/>
      <c r="B210" s="320"/>
      <c r="C210" s="336" t="s">
        <v>612</v>
      </c>
      <c r="D210" s="336"/>
      <c r="E210" s="336" t="s">
        <v>613</v>
      </c>
      <c r="F210" s="336"/>
      <c r="G210" s="336"/>
      <c r="H210" s="15"/>
      <c r="I210" s="6"/>
      <c r="J210" s="6"/>
      <c r="K210" s="6"/>
      <c r="L210" s="6"/>
      <c r="M210" s="6"/>
      <c r="N210" s="6"/>
      <c r="O210" s="199"/>
      <c r="P210" s="199"/>
      <c r="Q210" s="199"/>
      <c r="R210" s="199"/>
      <c r="S210" s="199"/>
      <c r="T210" s="191"/>
      <c r="W210" s="429"/>
    </row>
    <row r="211" spans="1:23" ht="12.95" customHeight="1">
      <c r="A211" s="321"/>
      <c r="B211" s="321"/>
      <c r="C211" s="303" t="s">
        <v>443</v>
      </c>
      <c r="D211" s="134" t="str">
        <f>IF(C203="Temps (t) en minutes","c","b")</f>
        <v>b</v>
      </c>
      <c r="E211" s="133" t="s">
        <v>443</v>
      </c>
      <c r="F211" s="133" t="s">
        <v>444</v>
      </c>
      <c r="G211" s="133" t="s">
        <v>445</v>
      </c>
      <c r="H211" s="15"/>
      <c r="I211" s="6"/>
      <c r="J211" s="6"/>
      <c r="K211" s="6"/>
      <c r="L211" s="6"/>
      <c r="M211" s="6"/>
      <c r="N211" s="6"/>
      <c r="O211" s="199"/>
      <c r="P211" s="199"/>
      <c r="Q211" s="199"/>
      <c r="R211" s="199"/>
      <c r="S211" s="199"/>
      <c r="T211" s="191"/>
      <c r="W211" s="429"/>
    </row>
    <row r="212" spans="1:23" ht="15" customHeight="1">
      <c r="A212" s="337">
        <v>2</v>
      </c>
      <c r="B212" s="337"/>
      <c r="C212" s="295"/>
      <c r="D212" s="296"/>
      <c r="E212" s="295"/>
      <c r="F212" s="297"/>
      <c r="G212" s="298"/>
      <c r="H212" s="15"/>
      <c r="I212" s="6"/>
      <c r="J212" s="6"/>
      <c r="K212" s="6"/>
      <c r="L212" s="6"/>
      <c r="M212" s="6"/>
      <c r="N212" s="6"/>
      <c r="O212" s="199"/>
      <c r="P212" s="199"/>
      <c r="Q212" s="199"/>
      <c r="R212" s="199"/>
      <c r="S212" s="191"/>
      <c r="T212" s="191"/>
      <c r="W212" s="429"/>
    </row>
    <row r="213" spans="1:23" ht="15" customHeight="1">
      <c r="A213" s="337">
        <v>5</v>
      </c>
      <c r="B213" s="338"/>
      <c r="C213" s="295"/>
      <c r="D213" s="296"/>
      <c r="E213" s="295"/>
      <c r="F213" s="297"/>
      <c r="G213" s="298"/>
      <c r="H213" s="6"/>
      <c r="I213" s="6"/>
      <c r="J213" s="6"/>
      <c r="K213" s="6"/>
      <c r="L213" s="6"/>
      <c r="M213" s="6"/>
      <c r="N213" s="6"/>
      <c r="O213" s="199"/>
      <c r="P213" s="199"/>
      <c r="Q213" s="199"/>
      <c r="R213" s="199"/>
      <c r="S213" s="191"/>
      <c r="T213" s="191"/>
      <c r="W213" s="429"/>
    </row>
    <row r="214" spans="1:23" ht="15" customHeight="1">
      <c r="A214" s="337">
        <v>10</v>
      </c>
      <c r="B214" s="338"/>
      <c r="C214" s="295"/>
      <c r="D214" s="296"/>
      <c r="E214" s="295"/>
      <c r="F214" s="297"/>
      <c r="G214" s="298"/>
      <c r="H214" s="6"/>
      <c r="I214" s="6"/>
      <c r="J214" s="6"/>
      <c r="K214" s="6"/>
      <c r="L214" s="6"/>
      <c r="M214" s="6"/>
      <c r="N214" s="6"/>
      <c r="O214" s="199"/>
      <c r="P214" s="199"/>
      <c r="Q214" s="199"/>
      <c r="R214" s="199"/>
      <c r="S214" s="191"/>
      <c r="T214" s="191"/>
      <c r="W214" s="429"/>
    </row>
    <row r="215" spans="1:23" ht="15" customHeight="1">
      <c r="A215" s="337">
        <v>20</v>
      </c>
      <c r="B215" s="338"/>
      <c r="C215" s="295"/>
      <c r="D215" s="296"/>
      <c r="E215" s="295"/>
      <c r="F215" s="297"/>
      <c r="G215" s="298"/>
      <c r="H215" s="17"/>
      <c r="I215" s="6"/>
      <c r="J215" s="6"/>
      <c r="K215" s="6"/>
      <c r="L215" s="6"/>
      <c r="M215" s="6"/>
      <c r="N215" s="6"/>
      <c r="O215" s="199"/>
      <c r="P215" s="199"/>
      <c r="Q215" s="199"/>
      <c r="R215" s="199"/>
      <c r="S215" s="191"/>
      <c r="T215" s="191"/>
      <c r="W215" s="429"/>
    </row>
    <row r="216" spans="1:23" ht="15" customHeight="1">
      <c r="A216" s="337">
        <v>25</v>
      </c>
      <c r="B216" s="338"/>
      <c r="C216" s="295"/>
      <c r="D216" s="296"/>
      <c r="E216" s="295"/>
      <c r="F216" s="297"/>
      <c r="G216" s="298"/>
      <c r="H216" s="6"/>
      <c r="I216" s="6"/>
      <c r="J216" s="6"/>
      <c r="K216" s="6"/>
      <c r="L216" s="6"/>
      <c r="M216" s="6"/>
      <c r="N216" s="6"/>
      <c r="O216" s="199"/>
      <c r="P216" s="199"/>
      <c r="Q216" s="199"/>
      <c r="R216" s="199"/>
      <c r="S216" s="191"/>
      <c r="T216" s="191"/>
      <c r="W216" s="429"/>
    </row>
    <row r="217" spans="1:23" ht="15" customHeight="1">
      <c r="A217" s="337">
        <v>50</v>
      </c>
      <c r="B217" s="338"/>
      <c r="C217" s="295"/>
      <c r="D217" s="296"/>
      <c r="E217" s="295"/>
      <c r="F217" s="297"/>
      <c r="G217" s="298"/>
      <c r="H217" s="6"/>
      <c r="I217" s="6"/>
      <c r="J217" s="6"/>
      <c r="K217" s="6"/>
      <c r="L217" s="6"/>
      <c r="M217" s="6"/>
      <c r="N217" s="6"/>
      <c r="O217" s="199"/>
      <c r="P217" s="199"/>
      <c r="Q217" s="199"/>
      <c r="R217" s="199"/>
      <c r="S217" s="191"/>
      <c r="T217" s="191"/>
      <c r="W217" s="429"/>
    </row>
    <row r="218" spans="1:23" ht="15" customHeight="1">
      <c r="A218" s="337">
        <v>100</v>
      </c>
      <c r="B218" s="338"/>
      <c r="C218" s="295"/>
      <c r="D218" s="296"/>
      <c r="E218" s="295"/>
      <c r="F218" s="297"/>
      <c r="G218" s="298"/>
      <c r="H218" s="6"/>
      <c r="I218" s="6"/>
      <c r="J218" s="6"/>
      <c r="K218" s="6"/>
      <c r="L218" s="6"/>
      <c r="M218" s="6"/>
      <c r="N218" s="6"/>
      <c r="O218" s="199"/>
      <c r="P218" s="199"/>
      <c r="Q218" s="199"/>
      <c r="R218" s="199"/>
      <c r="S218" s="191"/>
      <c r="T218" s="191"/>
      <c r="W218" s="429"/>
    </row>
    <row r="219" spans="1:23" ht="25.5" customHeight="1">
      <c r="A219" s="76"/>
      <c r="B219" s="76"/>
      <c r="C219" s="326" t="str" cm="1">
        <f t="array" ref="C219">IF(OR(AND(ISBLANK(C212:D218)),C203=""),"",IF(C203="Temps (t) en heures",IF(MAX(C212:C218)&gt;150,"Attention: certaines valeurs du paramètre « a » semblent élevées pour un temps exprimé en heures.",IF(MAX(D212:D218)&gt;0,"Attention: lorsque l'équation en heures est choisie, l'exposant « b » doit être négatif.","")),IF(C203="Temps (t) en minutes",IF(MIN(C212:C218)&lt;150,"Attention: certaines valeurs du paramètre « a » semblent faibles pour un temps exprimé en minutes.",IF(MIN(D212:D218)&lt;0,"Attention: lorsque l'équation en minutes est choisie, l'exposant « c » doit être positif.","")))))</f>
        <v/>
      </c>
      <c r="D219" s="326"/>
      <c r="E219" s="327" t="str" cm="1">
        <f t="array" ref="E219">IF(OR(AND(ISBLANK(E212:G218)),C203=""),"",IF(C203="Temps (t) en heures",IF(MAX(E212:E218)&gt;150,"Attention: certaines valeurs du paramètre « a » semblent élevées pour un temps exprimé en heures.",IF(MAX(F212:F218)&gt;0,"Attention: lorsque l'équation en heures est choisie, l'exposant « b » doit être négatif.","")),IF(C203="Temps (t) en minutes",IF(MIN(E212:E218)&lt;150,"Attention: certaines valeurs du paramètre « a » semblent faibles pour un temps exprimé en minutes.",IF(MIN(G212:G218)&lt;0,"Attention: lorsque l'équation en minutes est choisie, l'exposant « c » doit être positif.","")))))</f>
        <v/>
      </c>
      <c r="F219" s="327"/>
      <c r="G219" s="327"/>
      <c r="H219" s="6"/>
      <c r="I219" s="6"/>
      <c r="J219" s="6"/>
      <c r="K219" s="6"/>
      <c r="L219" s="6"/>
      <c r="M219" s="6"/>
      <c r="N219" s="6"/>
      <c r="O219" s="199"/>
      <c r="P219" s="199"/>
      <c r="Q219" s="199"/>
      <c r="R219" s="199"/>
      <c r="S219" s="191"/>
      <c r="T219" s="191"/>
      <c r="W219" s="429"/>
    </row>
    <row r="220" spans="1:23" ht="14.25">
      <c r="A220" s="128" t="s">
        <v>668</v>
      </c>
      <c r="B220" s="76"/>
      <c r="C220" s="76"/>
      <c r="D220" s="76"/>
      <c r="E220" s="76"/>
      <c r="F220" s="76"/>
      <c r="G220" s="76"/>
      <c r="H220" s="6"/>
      <c r="I220" s="6"/>
      <c r="J220" s="6"/>
      <c r="K220" s="6"/>
      <c r="L220" s="6"/>
      <c r="M220" s="6"/>
      <c r="N220" s="6"/>
      <c r="O220" s="191"/>
      <c r="P220" s="191"/>
      <c r="Q220" s="191"/>
      <c r="R220" s="191"/>
      <c r="S220" s="191"/>
      <c r="T220" s="191"/>
      <c r="W220" s="429"/>
    </row>
    <row r="221" spans="1:23">
      <c r="A221" s="129"/>
      <c r="B221" s="76"/>
      <c r="C221" s="76"/>
      <c r="D221" s="76"/>
      <c r="E221" s="76"/>
      <c r="F221" s="76"/>
      <c r="G221" s="76"/>
      <c r="H221" s="6"/>
      <c r="I221" s="6"/>
      <c r="J221" s="6"/>
      <c r="K221" s="6"/>
      <c r="L221" s="6"/>
      <c r="M221" s="6"/>
      <c r="N221" s="6"/>
      <c r="O221" s="191"/>
      <c r="P221" s="191"/>
      <c r="Q221" s="191"/>
      <c r="R221" s="191"/>
      <c r="S221" s="191"/>
      <c r="T221" s="191"/>
      <c r="W221" s="429"/>
    </row>
    <row r="222" spans="1:23" ht="25.5" customHeight="1">
      <c r="A222" s="346" t="s">
        <v>535</v>
      </c>
      <c r="B222" s="346"/>
      <c r="C222" s="346"/>
      <c r="D222" s="346"/>
      <c r="E222" s="346"/>
      <c r="F222" s="346"/>
      <c r="G222" s="346"/>
      <c r="H222" s="6"/>
      <c r="I222" s="6"/>
      <c r="J222" s="6"/>
      <c r="K222" s="6"/>
      <c r="L222" s="6"/>
      <c r="M222" s="6"/>
      <c r="N222" s="6"/>
      <c r="O222" s="191"/>
      <c r="P222" s="191"/>
      <c r="Q222" s="191"/>
      <c r="R222" s="191"/>
      <c r="S222" s="191"/>
      <c r="T222" s="191"/>
      <c r="W222" s="429"/>
    </row>
    <row r="223" spans="1:23" ht="18.75">
      <c r="A223" s="62" t="s">
        <v>633</v>
      </c>
      <c r="B223" s="135"/>
      <c r="C223" s="135"/>
      <c r="D223" s="135"/>
      <c r="E223" s="135"/>
      <c r="F223" s="135"/>
      <c r="G223" s="236" t="s">
        <v>519</v>
      </c>
      <c r="H223" s="6"/>
      <c r="I223" s="6"/>
      <c r="J223" s="6"/>
      <c r="K223" s="6"/>
      <c r="L223" s="6"/>
      <c r="M223" s="6"/>
      <c r="N223" s="6"/>
      <c r="O223" s="191"/>
      <c r="P223" s="191"/>
      <c r="Q223" s="191"/>
      <c r="R223" s="191"/>
      <c r="S223" s="191"/>
      <c r="T223" s="191"/>
      <c r="W223" s="429"/>
    </row>
    <row r="224" spans="1:23" ht="13.9" customHeight="1">
      <c r="A224" s="76"/>
      <c r="B224" s="76"/>
      <c r="C224" s="76"/>
      <c r="D224" s="76"/>
      <c r="E224" s="76"/>
      <c r="F224" s="76"/>
      <c r="G224" s="76"/>
      <c r="H224" s="6"/>
      <c r="I224" s="6"/>
      <c r="J224" s="6"/>
      <c r="K224" s="6"/>
      <c r="L224" s="6"/>
      <c r="M224" s="6"/>
      <c r="N224" s="6"/>
      <c r="O224" s="191"/>
      <c r="P224" s="191"/>
      <c r="Q224" s="191"/>
      <c r="R224" s="191"/>
      <c r="S224" s="191"/>
      <c r="T224" s="191"/>
      <c r="W224" s="429"/>
    </row>
    <row r="225" spans="1:23" ht="30" customHeight="1">
      <c r="A225" s="345" t="s">
        <v>669</v>
      </c>
      <c r="B225" s="345"/>
      <c r="C225" s="345"/>
      <c r="D225" s="345"/>
      <c r="E225" s="345"/>
      <c r="F225" s="345"/>
      <c r="G225" s="345"/>
      <c r="H225" s="6"/>
      <c r="I225" s="6"/>
      <c r="J225" s="6"/>
      <c r="K225" s="6"/>
      <c r="L225" s="6"/>
      <c r="M225" s="6"/>
      <c r="N225" s="6"/>
      <c r="O225" s="191"/>
      <c r="P225" s="191"/>
      <c r="Q225" s="191"/>
      <c r="R225" s="191"/>
      <c r="S225" s="191"/>
      <c r="T225" s="191"/>
      <c r="W225" s="429"/>
    </row>
    <row r="226" spans="1:23" ht="15" customHeight="1">
      <c r="A226" s="345"/>
      <c r="B226" s="345"/>
      <c r="C226" s="345"/>
      <c r="D226" s="345"/>
      <c r="E226" s="345"/>
      <c r="F226" s="345"/>
      <c r="G226" s="345"/>
      <c r="H226" s="6"/>
      <c r="I226" s="6"/>
      <c r="J226" s="6"/>
      <c r="K226" s="6"/>
      <c r="L226" s="6"/>
      <c r="M226" s="6"/>
      <c r="N226" s="6"/>
      <c r="O226" s="191"/>
      <c r="P226" s="191"/>
      <c r="Q226" s="191"/>
      <c r="R226" s="191"/>
      <c r="S226" s="191"/>
      <c r="T226" s="191"/>
      <c r="W226" s="429"/>
    </row>
    <row r="227" spans="1:23" ht="15" customHeight="1">
      <c r="A227" s="123"/>
      <c r="B227" s="136"/>
      <c r="C227" s="136"/>
      <c r="D227" s="136"/>
      <c r="E227" s="136"/>
      <c r="F227" s="136"/>
      <c r="G227" s="136"/>
      <c r="H227" s="6"/>
      <c r="I227" s="6"/>
      <c r="J227" s="6"/>
      <c r="K227" s="6"/>
      <c r="L227" s="6"/>
      <c r="M227" s="6"/>
      <c r="N227" s="6"/>
      <c r="O227" s="191"/>
      <c r="P227" s="191"/>
      <c r="Q227" s="191"/>
      <c r="R227" s="191"/>
      <c r="S227" s="191"/>
      <c r="T227" s="191"/>
      <c r="W227" s="429"/>
    </row>
    <row r="228" spans="1:23" ht="18" customHeight="1" thickBot="1">
      <c r="A228" s="76"/>
      <c r="B228" s="76"/>
      <c r="C228" s="138" t="s">
        <v>670</v>
      </c>
      <c r="D228" s="247"/>
      <c r="E228" s="76"/>
      <c r="F228" s="76"/>
      <c r="G228" s="76"/>
      <c r="H228" s="6"/>
      <c r="I228" s="6"/>
      <c r="J228" s="6"/>
      <c r="K228" s="6"/>
      <c r="L228" s="6"/>
      <c r="M228" s="6"/>
      <c r="N228" s="6"/>
      <c r="O228" s="191"/>
      <c r="P228" s="191"/>
      <c r="Q228" s="191"/>
      <c r="R228" s="191"/>
      <c r="S228" s="191"/>
      <c r="T228" s="191"/>
      <c r="W228" s="429"/>
    </row>
    <row r="229" spans="1:23" ht="18" customHeight="1" thickTop="1">
      <c r="A229" s="20"/>
      <c r="B229" s="137"/>
      <c r="C229" s="138" t="s">
        <v>514</v>
      </c>
      <c r="D229" s="266"/>
      <c r="E229" s="76"/>
      <c r="F229" s="76"/>
      <c r="G229" s="76"/>
      <c r="H229" s="6"/>
      <c r="I229" s="6"/>
      <c r="J229" s="6"/>
      <c r="K229" s="6"/>
      <c r="L229" s="6"/>
      <c r="M229" s="6"/>
      <c r="N229" s="6"/>
      <c r="O229" s="191"/>
      <c r="P229" s="191"/>
      <c r="Q229" s="191"/>
      <c r="R229" s="191"/>
      <c r="S229" s="191"/>
      <c r="T229" s="191"/>
      <c r="W229" s="429"/>
    </row>
    <row r="230" spans="1:23" ht="18" customHeight="1">
      <c r="A230" s="129"/>
      <c r="B230" s="76"/>
      <c r="C230" s="20"/>
      <c r="D230" s="21"/>
      <c r="E230" s="76"/>
      <c r="F230" s="76"/>
      <c r="G230" s="76"/>
      <c r="H230" s="6"/>
      <c r="I230" s="6"/>
      <c r="J230" s="6"/>
      <c r="K230" s="6"/>
      <c r="L230" s="6"/>
      <c r="M230" s="6"/>
      <c r="N230" s="6"/>
      <c r="O230" s="191"/>
      <c r="P230" s="191"/>
      <c r="Q230" s="191"/>
      <c r="R230" s="191"/>
      <c r="S230" s="191"/>
      <c r="T230" s="191"/>
      <c r="W230" s="429"/>
    </row>
    <row r="231" spans="1:23">
      <c r="A231" s="21"/>
      <c r="B231" s="21"/>
      <c r="C231" s="21"/>
      <c r="D231" s="21"/>
      <c r="E231" s="21"/>
      <c r="F231" s="21"/>
      <c r="G231" s="21"/>
      <c r="H231" s="6"/>
      <c r="I231" s="6"/>
      <c r="J231" s="6"/>
      <c r="K231" s="6"/>
      <c r="L231" s="6"/>
      <c r="M231" s="6"/>
      <c r="N231" s="6"/>
      <c r="O231" s="191"/>
      <c r="P231" s="191"/>
      <c r="Q231" s="191"/>
      <c r="R231" s="191"/>
      <c r="S231" s="191"/>
      <c r="T231" s="191"/>
      <c r="W231" s="429"/>
    </row>
    <row r="232" spans="1:23" ht="24.95" customHeight="1">
      <c r="A232" s="62" t="s">
        <v>636</v>
      </c>
      <c r="B232" s="62"/>
      <c r="C232" s="62"/>
      <c r="D232" s="62"/>
      <c r="E232" s="62"/>
      <c r="F232" s="62"/>
      <c r="G232" s="20"/>
      <c r="H232" s="1"/>
      <c r="I232" s="6"/>
      <c r="J232" s="6"/>
      <c r="K232" s="6"/>
      <c r="L232" s="1"/>
      <c r="M232" s="1"/>
      <c r="N232" s="1"/>
      <c r="O232" s="191"/>
      <c r="P232" s="191"/>
      <c r="Q232" s="191"/>
      <c r="R232" s="191"/>
      <c r="S232" s="191"/>
      <c r="T232" s="191"/>
      <c r="W232" s="429"/>
    </row>
    <row r="233" spans="1:23" ht="18" customHeight="1">
      <c r="A233" s="62"/>
      <c r="B233" s="62"/>
      <c r="C233" s="62"/>
      <c r="D233" s="62"/>
      <c r="E233" s="62"/>
      <c r="F233" s="62"/>
      <c r="G233" s="78"/>
      <c r="H233" s="191"/>
      <c r="I233" s="191"/>
      <c r="J233" s="191"/>
      <c r="K233" s="191"/>
      <c r="L233" s="191"/>
      <c r="M233" s="191"/>
      <c r="N233" s="191"/>
      <c r="O233" s="191"/>
      <c r="P233" s="191"/>
      <c r="Q233" s="191"/>
      <c r="R233" s="191"/>
      <c r="S233" s="191"/>
      <c r="T233" s="191"/>
    </row>
    <row r="234" spans="1:23" ht="18" customHeight="1">
      <c r="A234" s="123" t="s">
        <v>611</v>
      </c>
      <c r="B234" s="62"/>
      <c r="C234" s="62"/>
      <c r="D234" s="62"/>
      <c r="E234" s="62"/>
      <c r="F234" s="62"/>
      <c r="G234" s="78"/>
      <c r="H234" s="191"/>
      <c r="I234" s="191"/>
      <c r="J234" s="191"/>
      <c r="K234" s="191"/>
      <c r="L234" s="191"/>
      <c r="M234" s="191"/>
      <c r="N234" s="191"/>
      <c r="O234" s="191"/>
      <c r="P234" s="191"/>
      <c r="Q234" s="191"/>
      <c r="R234" s="191"/>
      <c r="S234" s="191"/>
      <c r="T234" s="191"/>
    </row>
    <row r="235" spans="1:23" ht="18" customHeight="1">
      <c r="A235" s="123"/>
      <c r="B235" s="62"/>
      <c r="C235" s="62"/>
      <c r="D235" s="62"/>
      <c r="E235" s="62"/>
      <c r="F235" s="62"/>
      <c r="G235" s="78"/>
      <c r="H235" s="191"/>
      <c r="I235" s="191"/>
      <c r="J235" s="191"/>
      <c r="K235" s="191"/>
      <c r="L235" s="191"/>
      <c r="M235" s="191"/>
      <c r="N235" s="191"/>
      <c r="O235" s="191"/>
      <c r="P235" s="191"/>
      <c r="Q235" s="191"/>
      <c r="R235" s="191"/>
      <c r="S235" s="191"/>
      <c r="T235" s="191"/>
    </row>
    <row r="236" spans="1:23" ht="24.95" customHeight="1">
      <c r="A236" s="21"/>
      <c r="B236" s="251"/>
      <c r="C236" s="140" t="s">
        <v>496</v>
      </c>
      <c r="D236" s="123" t="s">
        <v>641</v>
      </c>
      <c r="E236" s="62"/>
      <c r="F236" s="21"/>
      <c r="G236" s="78"/>
      <c r="H236" s="191"/>
      <c r="I236" s="191"/>
      <c r="J236" s="191"/>
      <c r="K236" s="191"/>
      <c r="L236" s="191"/>
      <c r="M236" s="191"/>
      <c r="N236" s="191"/>
      <c r="O236" s="191"/>
      <c r="P236" s="191"/>
      <c r="Q236" s="191"/>
      <c r="R236" s="191"/>
      <c r="S236" s="191"/>
      <c r="T236" s="191"/>
    </row>
    <row r="237" spans="1:23" ht="24.95" customHeight="1">
      <c r="A237" s="21"/>
      <c r="B237" s="139"/>
      <c r="C237" s="62"/>
      <c r="D237" s="317" t="s">
        <v>576</v>
      </c>
      <c r="E237" s="317"/>
      <c r="F237" s="317"/>
      <c r="G237" s="78"/>
      <c r="I237" s="191"/>
      <c r="J237" s="191"/>
      <c r="K237" s="191"/>
      <c r="L237" s="191"/>
      <c r="M237" s="191"/>
      <c r="N237" s="191"/>
      <c r="O237" s="191"/>
      <c r="P237" s="191"/>
      <c r="Q237" s="191"/>
      <c r="R237" s="191"/>
      <c r="S237" s="191"/>
      <c r="T237" s="191"/>
    </row>
    <row r="238" spans="1:23" ht="24.95" customHeight="1">
      <c r="A238" s="21"/>
      <c r="B238" s="139"/>
      <c r="C238" s="62"/>
      <c r="D238" s="317" t="s">
        <v>517</v>
      </c>
      <c r="E238" s="317"/>
      <c r="F238" s="317"/>
      <c r="G238" s="78"/>
      <c r="H238" s="191"/>
      <c r="I238" s="191"/>
      <c r="J238" s="191"/>
      <c r="K238" s="191"/>
      <c r="L238" s="191"/>
      <c r="M238" s="191"/>
      <c r="N238" s="191"/>
      <c r="O238" s="191"/>
      <c r="P238" s="191"/>
      <c r="Q238" s="191"/>
      <c r="R238" s="191"/>
      <c r="S238" s="191"/>
      <c r="T238" s="191"/>
    </row>
    <row r="239" spans="1:23" ht="24.95" customHeight="1">
      <c r="A239" s="21"/>
      <c r="B239" s="139"/>
      <c r="C239" s="62"/>
      <c r="D239" s="123" t="s">
        <v>516</v>
      </c>
      <c r="E239" s="62"/>
      <c r="F239" s="62"/>
      <c r="G239" s="78"/>
      <c r="H239" s="191"/>
      <c r="I239" s="191"/>
      <c r="J239" s="191"/>
      <c r="K239" s="191"/>
      <c r="L239" s="191"/>
      <c r="M239" s="191"/>
      <c r="N239" s="191"/>
      <c r="O239" s="191"/>
      <c r="P239" s="191"/>
      <c r="Q239" s="191"/>
      <c r="R239" s="191"/>
      <c r="S239" s="191"/>
      <c r="T239" s="191"/>
    </row>
    <row r="240" spans="1:23" ht="24.95" customHeight="1">
      <c r="A240" s="21"/>
      <c r="B240" s="139"/>
      <c r="C240" s="62"/>
      <c r="D240" s="317" t="s">
        <v>671</v>
      </c>
      <c r="E240" s="317"/>
      <c r="F240" s="317"/>
      <c r="G240" s="21"/>
      <c r="H240" s="191"/>
      <c r="I240" s="191"/>
      <c r="J240" s="191"/>
      <c r="K240" s="191"/>
      <c r="L240" s="191"/>
      <c r="M240" s="191"/>
      <c r="N240" s="191"/>
      <c r="O240" s="191"/>
      <c r="P240" s="191"/>
      <c r="Q240" s="191"/>
      <c r="R240" s="191"/>
      <c r="S240" s="191"/>
      <c r="T240" s="191"/>
    </row>
    <row r="241" spans="1:20" ht="24.95" customHeight="1">
      <c r="A241" s="21"/>
      <c r="B241" s="139"/>
      <c r="C241" s="62"/>
      <c r="D241" s="249"/>
      <c r="E241" s="249"/>
      <c r="F241" s="249"/>
      <c r="G241" s="20"/>
      <c r="H241" s="191"/>
      <c r="I241" s="191"/>
      <c r="J241" s="191"/>
      <c r="K241" s="191"/>
      <c r="L241" s="191"/>
      <c r="M241" s="191"/>
      <c r="N241" s="191"/>
      <c r="O241" s="191"/>
      <c r="P241" s="191"/>
      <c r="Q241" s="191"/>
      <c r="R241" s="191"/>
      <c r="S241" s="191"/>
      <c r="T241" s="191"/>
    </row>
    <row r="242" spans="1:20" ht="26.25" customHeight="1">
      <c r="A242" s="62"/>
      <c r="B242" s="62"/>
      <c r="C242" s="20"/>
      <c r="D242" s="138" t="s">
        <v>515</v>
      </c>
      <c r="E242" s="248" t="str">
        <f>IF(C173="-","-",IF(C173&lt;=60,12.25*C173^(-0.612),17.07*C173^(-0.693)))</f>
        <v>-</v>
      </c>
      <c r="F242" s="358" t="str">
        <f>IF(C173="-","",IF(C173&lt;10,"Le temps de concentration est plus petit que 10 minutes. L'équation de calcul du Fi est invalide dans cette plage.",IF(C173&gt;1440,"Le temps de concentration est plus grand que 24 heures. Le calcul est invalide.","")))</f>
        <v/>
      </c>
      <c r="G242" s="358"/>
      <c r="H242" s="191"/>
      <c r="I242" s="191"/>
      <c r="J242" s="191"/>
      <c r="K242" s="191"/>
      <c r="L242" s="191"/>
      <c r="M242" s="191"/>
      <c r="N242" s="191"/>
      <c r="O242" s="191"/>
      <c r="P242" s="191"/>
      <c r="Q242" s="191"/>
      <c r="R242" s="191"/>
      <c r="S242" s="191"/>
      <c r="T242" s="191"/>
    </row>
    <row r="243" spans="1:20" ht="26.25" customHeight="1">
      <c r="A243" s="62"/>
      <c r="B243" s="62"/>
      <c r="C243" s="62"/>
      <c r="D243" s="62"/>
      <c r="E243" s="62"/>
      <c r="F243" s="312"/>
      <c r="G243" s="312"/>
      <c r="H243" s="191"/>
      <c r="I243" s="191"/>
      <c r="J243" s="191"/>
      <c r="K243" s="191"/>
      <c r="L243" s="191"/>
      <c r="M243" s="191"/>
      <c r="N243" s="191"/>
      <c r="O243" s="191"/>
      <c r="P243" s="191"/>
      <c r="Q243" s="191"/>
      <c r="R243" s="191"/>
      <c r="S243" s="191"/>
      <c r="T243" s="191"/>
    </row>
    <row r="244" spans="1:20" ht="18" customHeight="1">
      <c r="A244" s="62" t="s">
        <v>635</v>
      </c>
      <c r="B244" s="62"/>
      <c r="C244" s="138"/>
      <c r="D244" s="141"/>
      <c r="E244" s="62"/>
      <c r="F244" s="62"/>
      <c r="G244" s="78"/>
      <c r="H244" s="191"/>
      <c r="I244" s="191"/>
      <c r="J244" s="191"/>
      <c r="K244" s="191"/>
      <c r="L244" s="191"/>
      <c r="M244" s="191"/>
      <c r="N244" s="191"/>
      <c r="O244" s="191"/>
      <c r="P244" s="191"/>
      <c r="Q244" s="191"/>
      <c r="R244" s="191"/>
      <c r="S244" s="191"/>
      <c r="T244" s="191"/>
    </row>
    <row r="245" spans="1:20" ht="18" customHeight="1">
      <c r="A245" s="62"/>
      <c r="B245" s="62"/>
      <c r="C245" s="138"/>
      <c r="D245" s="141"/>
      <c r="E245" s="62"/>
      <c r="F245" s="62"/>
      <c r="G245" s="78"/>
      <c r="H245" s="191"/>
      <c r="I245" s="191"/>
      <c r="J245" s="191"/>
      <c r="K245" s="191"/>
      <c r="L245" s="191"/>
      <c r="M245" s="191"/>
      <c r="N245" s="191"/>
      <c r="O245" s="191"/>
      <c r="P245" s="191"/>
      <c r="Q245" s="191"/>
      <c r="R245" s="191"/>
      <c r="S245" s="191"/>
      <c r="T245" s="191"/>
    </row>
    <row r="246" spans="1:20" ht="15.75" customHeight="1" thickBot="1">
      <c r="A246" s="21"/>
      <c r="B246" s="21"/>
      <c r="C246" s="21"/>
      <c r="D246" s="138" t="s">
        <v>518</v>
      </c>
      <c r="E246" s="267"/>
      <c r="F246" s="358" t="str">
        <f>IF(AND($E$246="I25,60",$E$247&lt;&gt;"Fq &amp; Fi"),"Mise en garde: l'équation «Fq &amp; Fi» doit être sélectionnée lorsque les données I25,60 sont utilisées.",IF(AND($E$246="Station personnalisée",$D$228&lt;&gt;"Station personnalisée",$E$247="Fq &amp; Fi"),"Mise en garde: l'intensité de précipitation I25,60 saisie à la section 3.3.3 doit être celle de la station personnalisée.",""))</f>
        <v/>
      </c>
      <c r="G246" s="358"/>
      <c r="H246" s="199"/>
      <c r="I246" s="191"/>
      <c r="J246" s="191"/>
      <c r="K246" s="191"/>
      <c r="L246" s="191"/>
      <c r="M246" s="191"/>
      <c r="N246" s="191"/>
      <c r="O246" s="191"/>
      <c r="P246" s="191"/>
      <c r="Q246" s="191"/>
      <c r="R246" s="191"/>
      <c r="S246" s="191"/>
      <c r="T246" s="191"/>
    </row>
    <row r="247" spans="1:20" ht="15.75" customHeight="1" thickTop="1">
      <c r="A247" s="21"/>
      <c r="B247" s="20"/>
      <c r="C247" s="21"/>
      <c r="D247" s="47" t="s">
        <v>564</v>
      </c>
      <c r="E247" s="268"/>
      <c r="F247" s="358"/>
      <c r="G247" s="358"/>
      <c r="H247" s="199"/>
      <c r="I247" s="191"/>
      <c r="J247" s="191"/>
      <c r="K247" s="191"/>
      <c r="L247" s="191"/>
      <c r="M247" s="191"/>
      <c r="N247" s="191"/>
      <c r="O247" s="191"/>
      <c r="P247" s="191"/>
      <c r="Q247" s="191"/>
      <c r="R247" s="191"/>
      <c r="S247" s="191"/>
      <c r="T247" s="191"/>
    </row>
    <row r="248" spans="1:20" ht="18" customHeight="1">
      <c r="A248" s="142"/>
      <c r="B248" s="142"/>
      <c r="C248" s="76"/>
      <c r="D248" s="76"/>
      <c r="E248" s="76"/>
      <c r="F248" s="76"/>
      <c r="G248" s="76"/>
      <c r="H248" s="199"/>
      <c r="I248" s="191"/>
      <c r="J248" s="191"/>
      <c r="K248" s="191"/>
      <c r="L248" s="191"/>
      <c r="M248" s="191"/>
      <c r="N248" s="191"/>
      <c r="O248" s="191"/>
      <c r="P248" s="191"/>
      <c r="Q248" s="191"/>
      <c r="R248" s="191"/>
      <c r="S248" s="191"/>
      <c r="T248" s="191"/>
    </row>
    <row r="249" spans="1:20" ht="15" customHeight="1">
      <c r="A249" s="66" t="s">
        <v>604</v>
      </c>
      <c r="B249" s="76"/>
      <c r="C249" s="76"/>
      <c r="D249" s="76"/>
      <c r="E249" s="76"/>
      <c r="F249" s="76"/>
      <c r="G249" s="76"/>
      <c r="H249" s="199"/>
      <c r="I249" s="191"/>
      <c r="J249" s="191"/>
      <c r="K249" s="191"/>
      <c r="L249" s="191"/>
      <c r="M249" s="191"/>
      <c r="N249" s="191"/>
      <c r="O249" s="191"/>
      <c r="P249" s="191"/>
      <c r="Q249" s="191"/>
      <c r="R249" s="191"/>
      <c r="S249" s="191"/>
      <c r="T249" s="191"/>
    </row>
    <row r="250" spans="1:20" ht="12.75" customHeight="1">
      <c r="A250" s="411"/>
      <c r="B250" s="411"/>
      <c r="C250" s="411"/>
      <c r="D250" s="411"/>
      <c r="E250" s="411"/>
      <c r="F250" s="411"/>
      <c r="G250" s="411"/>
      <c r="H250" s="199"/>
      <c r="I250" s="191"/>
      <c r="J250" s="191"/>
      <c r="K250" s="191"/>
      <c r="L250" s="191"/>
      <c r="M250" s="191"/>
      <c r="N250" s="191"/>
      <c r="O250" s="191"/>
      <c r="P250" s="191"/>
      <c r="Q250" s="191"/>
      <c r="R250" s="191"/>
      <c r="S250" s="191"/>
      <c r="T250" s="191"/>
    </row>
    <row r="251" spans="1:20" ht="18.75" customHeight="1">
      <c r="A251" s="405" t="s">
        <v>527</v>
      </c>
      <c r="B251" s="405"/>
      <c r="C251" s="274" t="s">
        <v>612</v>
      </c>
      <c r="D251" s="274" t="s">
        <v>613</v>
      </c>
      <c r="E251" s="274" t="s">
        <v>614</v>
      </c>
      <c r="F251" s="405" t="str">
        <f>IF(E246="Station personnalisée",IF(E247="Fq &amp; Fi", "Paramètres de l'équation sélectionnée (pour t en minutes)",IF(C203="Temps (t) en minutes",  "Paramètres de l'équation sélectionnée (pour t en minutes)",  "Paramètres de l'équation sélectionnée (pour t en heures)")),IF(E246="I25,60","Paramètres de l'équation sélectionnée (pour t en minutes)","Paramètres de l'équation sélectionnée (pour t en heures)"))</f>
        <v>Paramètres de l'équation sélectionnée (pour t en heures)</v>
      </c>
      <c r="G251" s="405"/>
      <c r="H251" s="199"/>
      <c r="I251" s="191"/>
      <c r="J251" s="191"/>
      <c r="K251" s="191"/>
      <c r="L251" s="191"/>
      <c r="M251" s="191"/>
      <c r="N251" s="191"/>
      <c r="O251" s="191"/>
      <c r="P251" s="191"/>
      <c r="Q251" s="191"/>
      <c r="R251" s="191"/>
      <c r="S251" s="191"/>
      <c r="T251" s="191"/>
    </row>
    <row r="252" spans="1:20" ht="34.5" customHeight="1">
      <c r="A252" s="405"/>
      <c r="B252" s="405"/>
      <c r="C252" s="301" t="str" cm="1">
        <f t="array" ref="C252">IF(OR(AND($C$203="Temps (t) en heures",param_select=1,E246="Station personnalisée"),AND(E246&lt;&gt;"Station personnalisée",param_select=1)),"✓","")</f>
        <v/>
      </c>
      <c r="D252" s="302" t="str" cm="1">
        <f t="array" ref="D252">IF(OR(AND($C$203="Temps (t) en heures",param_select=2,E246="Station personnalisée"),AND(E246&lt;&gt;"Station personnalisée",param_select=2)),"✓","")</f>
        <v/>
      </c>
      <c r="E252" s="328" t="str" cm="1">
        <f t="array" ref="E252">IF(param_select=3,"✓","")</f>
        <v/>
      </c>
      <c r="F252" s="405"/>
      <c r="G252" s="405"/>
      <c r="H252" s="191"/>
      <c r="I252" s="191"/>
      <c r="J252" s="191"/>
      <c r="K252" s="191"/>
      <c r="L252" s="191"/>
      <c r="M252" s="191"/>
      <c r="N252" s="191"/>
      <c r="O252" s="191"/>
      <c r="P252" s="191"/>
      <c r="Q252" s="191"/>
      <c r="R252" s="191"/>
      <c r="S252" s="191"/>
      <c r="T252" s="191"/>
    </row>
    <row r="253" spans="1:20" ht="31.5" customHeight="1">
      <c r="A253" s="406"/>
      <c r="B253" s="406"/>
      <c r="C253" s="299" t="str" cm="1">
        <f t="array" ref="C253">IF(AND($C$203="Temps (t) en minutes",param_select=1,E246="Station personnalisée"),"✓","")</f>
        <v/>
      </c>
      <c r="D253" s="300" t="str" cm="1">
        <f t="array" ref="D253">IF(AND($C$203="Temps (t) en minutes",param_select=2,E246="Station personnalisée"),"✓","")</f>
        <v/>
      </c>
      <c r="E253" s="329"/>
      <c r="F253" s="406"/>
      <c r="G253" s="406"/>
      <c r="H253" s="191"/>
      <c r="I253" s="191"/>
      <c r="J253" s="191"/>
      <c r="K253" s="191"/>
      <c r="L253" s="191"/>
      <c r="M253" s="191"/>
      <c r="N253" s="191"/>
      <c r="O253" s="191"/>
      <c r="P253" s="191"/>
      <c r="Q253" s="191"/>
      <c r="R253" s="191"/>
      <c r="S253" s="191"/>
      <c r="T253" s="191"/>
    </row>
    <row r="254" spans="1:20" ht="15" customHeight="1">
      <c r="A254" s="372">
        <v>2</v>
      </c>
      <c r="B254" s="372"/>
      <c r="C254" s="220" t="str" cm="1">
        <f t="array" ref="C254">IF(OR($E$246="I25,60",ISNA(stat_select),bool_tc_mauvais,$C$173="-"),"-",IF(stat_select=1,a2_2p_st1*($C$173/60)^b2_2p_st1,IF(stat_select=2,a2_2p_st2*($C$173/60)^b2_2p_st2,IF(stat_select=3,a2_2p_st3*($C$173/60)^b2_2p_st3,IF(stat_select=4,a2_2p_st4*($C$173/60)^b2_2p_st4,IF(stat_select=5,a2_2p_st5*($C$173/60)^b2_2p_st5,IF(stat_select=6,IF(OR(C212="",D212="",$C$203=""),"-",IF($C$203="Temps (t) en heures",C212*($C$173/60)^D212,IF($C$203="Temps (t) en minutes",C212/($C$173^D212), "-"))))))))))</f>
        <v>-</v>
      </c>
      <c r="D254" s="224" t="str" cm="1">
        <f t="array" ref="D254">IF(OR($E$246="I25,60",ISNA(stat_select),bool_tc_mauvais,$C$173="-"),"-",IF(stat_select=1,a2_3p_st1*(($C$173/60)+d2_3p_st1)^b2_3p_st1,IF(stat_select=2,a2_3p_st2*(($C$173/60)+d2_3p_st2)^b2_3p_st2,IF(stat_select=3,a2_3p_st3*(($C$173/60)+d2_3p_st3)^b2_3p_st3,IF(stat_select=4,a2_3p_st4*(($C$173/60)+d2_3p_st4)^b2_3p_st4,IF(stat_select=5,a2_3p_st5*(($C$173/60)+d2_3p_st5)^b2_3p_st5,IF(stat_select=6,IF(OR(E212="",F212="",G212="",$C$203=""),"-",IF($C$203="Temps (t) en heures",E212*(($C$173/60)+G212)^F212,IF($C$203="Temps (t) en minutes",E212/($C$173+F212)^G212, "-"))))))))))</f>
        <v>-</v>
      </c>
      <c r="E254" s="224" t="str" cm="1">
        <f t="array" ref="E254">IF(OR(AND($E$246="I25,60",$E$247&lt;&gt;"Fq &amp; Fi"),bool_tc_mauvais,C173="-",E242="-"),"-",IF(AND(OR(AND($E$246="Station personnalisée",$D$228="Station personnalisée"),$E$246="I25,60"),$D$229&lt;&gt;""),0.54*$E$242*$D$229,IF(OR($E$246="",ISNA(stat_select)),"-",IF(stat_select=1,0.54*$E$242*$C$193,IF(stat_select=2,0.54*$E$242*$D$193,IF(stat_select=3,0.54*$E$242*$E$193,IF(stat_select=4,0.54*$E$242*$F$193,IF(stat_select=5,0.54*$E$242*$G$193,"-"))))))))</f>
        <v>-</v>
      </c>
      <c r="F254" s="330" t="str" cm="1">
        <f t="array" ref="F254">IF(AND($E$246="I25,60",param_select&lt;&gt;3),"-",IF(OR($E$246="",param_select="",bool_tc_mauvais,$C$173="-"),"-",IF(AND($E$246="I25,60",$E$254&lt;&gt;"-",param_select=3),"Fq = "&amp;"0.54",IF(ISNA(stat_select),"-",IF(param_select=1,IF(stat_select=1, "a = "&amp;a2_2p_st1&amp;"    b = "&amp;b2_2p_st1,IF(stat_select=2, "a = "&amp;a2_2p_st2&amp;"    b = "&amp;b2_2p_st2, IF(stat_select=3, "a = "&amp;a2_2p_st3&amp;"    b = "&amp;b2_2p_st3,IF(stat_select=4, "a = "&amp;a2_2p_st4&amp;"    b = "&amp;b2_2p_st4,IF(stat_select=5, "a = "&amp;a2_2p_st5&amp;"    b = "&amp;b2_2p_st5,IF(stat_select=6, IF(OR(C212="",D212="",$C$203=""),"-",IF($C$203="Temps (t) en heures","a = "&amp;C212&amp;"    b = "&amp;D212,"a = "&amp;C212&amp;"    c = "&amp;D212)))))))),IF(param_select=2,IF(stat_select=1, "a = "&amp;a2_3p_st1&amp;"    b = "&amp;b2_3p_st1&amp;"    c = "&amp;d2_3p_st1,IF(stat_select=2, "a = "&amp;a2_3p_st2&amp;"    b = "&amp;b2_3p_st2&amp;"    c = "&amp;d2_3p_st2,IF(stat_select=3, "a = "&amp;a2_3p_st3&amp;"    b = "&amp;b2_3p_st3&amp;"    c = "&amp;d2_3p_st3,IF(stat_select=4, "a = "&amp;a2_3p_st4&amp;"    b = "&amp;b2_3p_st4&amp;"    c = "&amp;d2_3p_st4,IF(stat_select=5, "a = "&amp;a2_3p_st5&amp;"    b = "&amp;b2_3p_st5&amp;"    c = "&amp;d2_3p_st5,IF(stat_select=6, IF(OR(E212="",F212="",G212="",$C$203=""),"-","a = "&amp;E212&amp;"    b = "&amp;F212&amp;"    c = "&amp;G212))))))),IF(AND(param_select=3,$E$254&lt;&gt;"-"),"Fq = "&amp;"0.54","-")))))))</f>
        <v>-</v>
      </c>
      <c r="G254" s="331"/>
      <c r="H254" s="191"/>
      <c r="I254" s="203"/>
      <c r="J254" s="204"/>
      <c r="K254" s="191"/>
      <c r="L254" s="191"/>
      <c r="M254" s="191"/>
      <c r="N254" s="191"/>
      <c r="O254" s="191"/>
      <c r="P254" s="191"/>
      <c r="Q254" s="191"/>
      <c r="R254" s="191"/>
      <c r="S254" s="191"/>
      <c r="T254" s="191"/>
    </row>
    <row r="255" spans="1:20" ht="15" customHeight="1">
      <c r="A255" s="409">
        <v>5</v>
      </c>
      <c r="B255" s="409"/>
      <c r="C255" s="221" t="str" cm="1">
        <f t="array" ref="C255">IF(OR($E$246="I25,60",ISNA(stat_select),bool_tc_mauvais,$C$173="-"),"-",IF(stat_select=1,a5_2p_st1*($C$173/60)^b5_2p_st1,IF(stat_select=2,a5_2p_st2*($C$173/60)^b5_2p_st2,IF(stat_select=3,a5_2p_st3*($C$173/60)^b5_2p_st3,IF(stat_select=4,a5_2p_st4*($C$173/60)^b5_2p_st4,IF(stat_select=5,a5_2p_st5*($C$173/60)^b5_2p_st5,IF(stat_select=6,IF(OR(C213="",D213="",$C$203=""),"-",IF($C$203="Temps (t) en heures",C213*($C$173/60)^D213,IF($C$203="Temps (t) en minutes",C213/($C$173^D213), "-"))))))))))</f>
        <v>-</v>
      </c>
      <c r="D255" s="225" t="str" cm="1">
        <f t="array" ref="D255">IF(OR($E$246="I25,60",ISNA(stat_select),bool_tc_mauvais,$C$173="-"),"-",IF(stat_select=1,a5_3p_st1*(($C$173/60)+d5_3p_st1)^b5_3p_st1,IF(stat_select=2,a5_3p_st2*(($C$173/60)+d5_3p_st2)^b5_3p_st2,IF(stat_select=3,a5_3p_st3*(($C$173/60)+d5_3p_st3)^b5_3p_st3,IF(stat_select=4,a5_3p_st4*(($C$173/60)+d5_3p_st4)^b5_3p_st4,IF(stat_select=5,a5_3p_st5*(($C$173/60)+d5_3p_st5)^b5_3p_st5,IF(stat_select=6,IF(OR(E213="",F213="",G213="",$C$203=""),"-",IF($C$203="Temps (t) en heures",E213*(($C$173/60)+G213)^F213,IF($C$203="Temps (t) en minutes",E213/($C$173+F213)^G213, "-"))))))))))</f>
        <v>-</v>
      </c>
      <c r="E255" s="225" t="str" cm="1">
        <f t="array" ref="E255">IF(OR(AND($E$246="I25,60",$E$247&lt;&gt;"Fq &amp; Fi"),bool_tc_mauvais,C173="-",E242="-"),"-",IF(AND(OR(AND($E$246="Station personnalisée",$D$228="Station personnalisée"),$E$246="I25,60"),$D$229&lt;&gt;""),0.72*$E$242*$D$229,IF(OR($E$246="",ISNA(stat_select)),"-",IF(stat_select=1,0.72*$E$242*$C$193,IF(stat_select=2,0.72*$E$242*$D$193,IF(stat_select=3,0.72*$E$242*$E$193,IF(stat_select=4,0.72*$E$242*$F$193,IF(stat_select=5,0.72*$E$242*$G$193,"-"))))))))</f>
        <v>-</v>
      </c>
      <c r="F255" s="332" t="str" cm="1">
        <f t="array" ref="F255">IF(AND($E$246="I25,60",param_select&lt;&gt;3),"-",IF(OR($E$246="",param_select="",bool_tc_mauvais,$C$173="-"),"-",IF(AND($E$246="I25,60",$E$255&lt;&gt;"-",param_select=3),"Fq = "&amp;"0.72",IF(ISNA(stat_select),"-",IF(param_select=1,IF(stat_select=1, "a = "&amp;a5_2p_st1&amp;"    b = "&amp;b5_2p_st1,IF(stat_select=2, "a = "&amp;a5_2p_st2&amp;"    b = "&amp;b5_2p_st2, IF(stat_select=3, "a = "&amp;a5_2p_st3&amp;"    b = "&amp;b5_2p_st3,IF(stat_select=4, "a = "&amp;a5_2p_st4&amp;"    b = "&amp;b5_2p_st4,IF(stat_select=5, "a = "&amp;a5_2p_st5&amp;"    b = "&amp;b5_2p_st5,IF(stat_select=6, IF(OR(C213="",D213="",$C$203=""),"-",IF($C$203="Temps (t) en heures","a = "&amp;C213&amp;"    b = "&amp;D213,"a = "&amp;C213&amp;"    c = "&amp;D213)))))))),IF(param_select=2,IF(stat_select=1, "a = "&amp;a5_3p_st1&amp;"    b = "&amp;b5_3p_st1&amp;"    c = "&amp;d5_3p_st1,IF(stat_select=2, "a = "&amp;a5_3p_st2&amp;"    b = "&amp;b5_3p_st2&amp;"    c = "&amp;d5_3p_st2,IF(stat_select=3, "a = "&amp;a5_3p_st3&amp;"    b = "&amp;b5_3p_st3&amp;"    c = "&amp;d5_3p_st3,IF(stat_select=4, "a = "&amp;a5_3p_st4&amp;"    b = "&amp;b5_3p_st4&amp;"    c = "&amp;d5_3p_st4,IF(stat_select=5, "a = "&amp;a5_3p_st5&amp;"    b = "&amp;b5_3p_st5&amp;"    c = "&amp;d5_3p_st5,IF(stat_select=6, IF(OR(E213="",F213="",G213="",$C$203=""),"-","a = "&amp;E213&amp;"    b = "&amp;F213&amp;"    c = "&amp;G213))))))),IF(AND(param_select=3,$E$255&lt;&gt;"-"),"Fq = "&amp;"0.72","-")))))))</f>
        <v>-</v>
      </c>
      <c r="G255" s="332"/>
      <c r="H255" s="191"/>
      <c r="I255" s="203"/>
      <c r="J255" s="203"/>
      <c r="K255" s="191"/>
      <c r="L255" s="191"/>
      <c r="M255" s="191"/>
      <c r="N255" s="191"/>
      <c r="O255" s="191"/>
      <c r="P255" s="191"/>
      <c r="Q255" s="191"/>
      <c r="R255" s="191"/>
      <c r="S255" s="191"/>
      <c r="T255" s="191"/>
    </row>
    <row r="256" spans="1:20" ht="15" customHeight="1">
      <c r="A256" s="371">
        <v>10</v>
      </c>
      <c r="B256" s="371"/>
      <c r="C256" s="222" t="str" cm="1">
        <f t="array" ref="C256">IF(OR($E$246="I25,60",ISNA(stat_select),bool_tc_mauvais,$C$173="-"),"-",IF(stat_select=1,a10_2p_st1*($C$173/60)^b10_2p_st1,IF(stat_select=2,a10_2p_st2*($C$173/60)^b10_2p_st2,IF(stat_select=3,a10_2p_st3*($C$173/60)^b10_2p_st3,IF(stat_select=4,a10_2p_st4*($C$173/60)^b10_2p_st4,IF(stat_select=5,a10_2p_st5*($C$173/60)^b10_2p_st5,IF(stat_select=6,IF(OR(C214="",D214="",$C$203=""),"-",IF($C$203="Temps (t) en heures",C214*($C$173/60)^D214,IF($C$203="Temps (t) en minutes",C214/($C$173^D214), "-"))))))))))</f>
        <v>-</v>
      </c>
      <c r="D256" s="226" t="str" cm="1">
        <f t="array" ref="D256">IF(OR($E$246="I25,60",ISNA(stat_select),bool_tc_mauvais,$C$173="-"),"-",IF(stat_select=1,a10_3p_st1*(($C$173/60)+d10_3p_st1)^b10_3p_st1,IF(stat_select=2,a10_3p_st2*(($C$173/60)+d10_3p_st2)^b10_3p_st2,IF(stat_select=3,a10_3p_st3*(($C$173/60)+d10_3p_st3)^b10_3p_st3,IF(stat_select=4,a10_3p_st4*(($C$173/60)+d10_3p_st4)^b10_3p_st4,IF(stat_select=5,a10_3p_st5*(($C$173/60)+d10_3p_st5)^b10_3p_st5,IF(stat_select=6,IF(stat_select=6,IF(OR(E214="",F214="",G214="",$C$203=""),"-",IF($C$203="Temps (t) en heures",E214*(($C$173/60)+G214)^F214,IF($C$203="Temps (t) en minutes",E214/($C$173+F214)^G214, "-")))))))))))</f>
        <v>-</v>
      </c>
      <c r="E256" s="226" t="str" cm="1">
        <f t="array" ref="E256">IF(OR(AND($E$246="I25,60",$E$247&lt;&gt;"Fq &amp; Fi"),bool_tc_mauvais,C173="-",E242="-"),"-",IF(AND(OR(AND($E$246="Station personnalisée",$D$228="Station personnalisée"),$E$246="I25,60"),$D$229&lt;&gt;""),0.85*$E$242*$D$229,IF(OR($E$246="",ISNA(stat_select)),"-",IF(stat_select=1,0.85*$E$242*$C$193,IF(stat_select=2,0.85*$E$242*$D$193,IF(stat_select=3,0.85*$E$242*$E$193,IF(stat_select=4,0.85*$E$242*$F$193,IF(stat_select=5,0.85*$E$242*$G$193,"-"))))))))</f>
        <v>-</v>
      </c>
      <c r="F256" s="410" t="str" cm="1">
        <f t="array" ref="F256">IF(AND($E$246="I25,60",param_select&lt;&gt;3),"-",IF(OR($E$246="",param_select="",bool_tc_mauvais,$C$173="-"),"-",IF(AND($E$246="I25,60",$E$256&lt;&gt;"-",param_select=3),"Fq = "&amp;"0.85",IF(ISNA(stat_select),"-",IF(param_select=1,IF(stat_select=1, "a = "&amp;a10_2p_st1&amp;"    b = "&amp;b10_2p_st1,IF(stat_select=2, "a = "&amp;a10_2p_st2&amp;"    b = "&amp;b10_2p_st2, IF(stat_select=3, "a = "&amp;a10_2p_st3&amp;"    b = "&amp;b10_2p_st3,IF(stat_select=4, "a = "&amp;a10_2p_st4&amp;"    b = "&amp;b10_2p_st4,IF(stat_select=5, "a = "&amp;a10_2p_st5&amp;"    b = "&amp;b10_2p_st5,IF(stat_select=6, IF(OR(C214="",D214="",$C$203=""),"-",IF($C$203="Temps (t) en heures","a = "&amp;C214&amp;"    b = "&amp;D214,"a = "&amp;C214&amp;"    c = "&amp;D214)))))))),IF(param_select=2,IF(stat_select=1, "a = "&amp;a10_3p_st1&amp;"    b = "&amp;b10_3p_st1&amp;"    c = "&amp;d10_3p_st1,IF(stat_select=2, "a = "&amp;a10_3p_st2&amp;"    b = "&amp;b10_3p_st2&amp;"    c = "&amp;d10_3p_st2,IF(stat_select=3, "a = "&amp;a10_3p_st3&amp;"    b = "&amp;b10_3p_st3&amp;"    c = "&amp;d10_3p_st3,IF(stat_select=4, "a = "&amp;a10_3p_st4&amp;"    b = "&amp;b10_3p_st4&amp;"    c = "&amp;d10_3p_st4,IF(stat_select=5, "a = "&amp;a10_3p_st5&amp;"    b = "&amp;b10_3p_st5&amp;"    c = "&amp;d10_3p_st5,IF(stat_select=6, IF(OR(E214="",F214="",G214="",$C$203=""),"-","a = "&amp;E214&amp;"    b = "&amp;F214&amp;"    c = "&amp;G214))))))),IF(AND(param_select=3,$E$256&lt;&gt;"-"),"Fq = "&amp;"0.85","-")))))))</f>
        <v>-</v>
      </c>
      <c r="G256" s="410"/>
      <c r="H256" s="191"/>
      <c r="I256" s="203"/>
      <c r="J256" s="203"/>
      <c r="K256" s="191"/>
      <c r="L256" s="191"/>
      <c r="M256" s="191"/>
      <c r="N256" s="191"/>
      <c r="O256" s="191"/>
      <c r="P256" s="191"/>
      <c r="Q256" s="191"/>
      <c r="R256" s="191"/>
      <c r="S256" s="191"/>
      <c r="T256" s="191"/>
    </row>
    <row r="257" spans="1:20" ht="15" customHeight="1">
      <c r="A257" s="409">
        <v>20</v>
      </c>
      <c r="B257" s="409"/>
      <c r="C257" s="221" t="str" cm="1">
        <f t="array" ref="C257">IF(OR($E$246="I25,60",ISNA(stat_select),bool_tc_mauvais,$C$173="-"),"-",IF(stat_select=1,a20_2p_st1*($C$173/60)^b20_2p_st1,IF(stat_select=2,a20_2p_st2*($C$173/60)^b20_2p_st2,IF(stat_select=3,a20_2p_st3*($C$173/60)^b20_2p_st3,IF(stat_select=4,a20_2p_st4*($C$173/60)^b20_2p_st4,IF(stat_select=5,a20_2p_st5*($C$173/60)^b20_2p_st5,IF(stat_select=6,IF(OR(C215="",D215="",$C$203=""),"-",IF($C$203="Temps (t) en heures",C215*($C$173/60)^D215,IF($C$203="Temps (t) en minutes",C215/($C$173^D215), "-"))))))))))</f>
        <v>-</v>
      </c>
      <c r="D257" s="225" t="str" cm="1">
        <f t="array" ref="D257">IF(OR($E$246="I25,60",ISNA(stat_select),bool_tc_mauvais,$C$173="-"),"-",IF(stat_select=1,a20_3p_st1*(($C$173/60)+d20_3p_st1)^b20_3p_st1,IF(stat_select=2,a20_3p_st2*(($C$173/60)+d20_3p_st2)^b20_3p_st2,IF(stat_select=3,a20_3p_st3*(($C$173/60)+d20_3p_st3)^b20_3p_st3,IF(stat_select=4,a20_3p_st4*(($C$173/60)+d20_3p_st4)^b20_3p_st4,IF(stat_select=5,a20_3p_st5*(($C$173/60)+d20_3p_st5)^b20_3p_st5,IF(stat_select=6,IF(OR(E215="",F215="",G215="",$C$203=""),"-",IF($C$203="Temps (t) en heures",E215*(($C$173/60)+G215)^F215,IF($C$203="Temps (t) en minutes",E215/($C$173+F215)^G215, "-"))))))))))</f>
        <v>-</v>
      </c>
      <c r="E257" s="225" t="str" cm="1">
        <f t="array" ref="E257">IF(OR(AND($E$246="I25,60",$E$247&lt;&gt;"Fq &amp; Fi"),bool_tc_mauvais,C173="-",E242="-"),"-",IF(AND(OR(AND($E$246="Station personnalisée",$D$228="Station personnalisée"),$E$246="I25,60"),$D$229&lt;&gt;""),0.96*$E$242*$D$229,IF(OR($E$246="",ISNA(stat_select)),"-",IF(stat_select=1,0.96*$E$242*$C$193,IF(stat_select=2,0.96*$E$242*$D$193,IF(stat_select=3,0.96*$E$242*$E$193,IF(stat_select=4,0.96*$E$242*$F$193,IF(stat_select=5,0.96*$E$242*$G$193,"-"))))))))</f>
        <v>-</v>
      </c>
      <c r="F257" s="332" t="str" cm="1">
        <f t="array" ref="F257">IF(AND($E$246="I25,60",param_select&lt;&gt;3),"-",IF(OR($E$246="",param_select="",bool_tc_mauvais,$C$173="-"),"-",IF(AND($E$246="I25,60",$E$257&lt;&gt;"-",param_select=3),"Fq = "&amp;"0.96",IF(ISNA(stat_select),"-",IF(param_select=1,IF(stat_select=1, "a = "&amp;a20_2p_st1&amp;"    b = "&amp;b20_2p_st1,IF(stat_select=2, "a = "&amp;a20_2p_st2&amp;"    b = "&amp;b20_2p_st2, IF(stat_select=3, "a = "&amp;a20_2p_st3&amp;"    b = "&amp;b20_2p_st3,IF(stat_select=4, "a = "&amp;a20_2p_st4&amp;"    b = "&amp;b20_2p_st4,IF(stat_select=5, "a = "&amp;a20_2p_st5&amp;"    b = "&amp;b20_2p_st5,IF(stat_select=6, IF(OR(C215="",D215="",$C$203=""),"-",IF($C$203="Temps (t) en heures","a = "&amp;C215&amp;"    b = "&amp;D215,"a = "&amp;C215&amp;"    c = "&amp;D215)))))))),IF(param_select=2,IF(stat_select=1, "a = "&amp;a20_3p_st1&amp;"    b = "&amp;b20_3p_st1&amp;"    c = "&amp;d20_3p_st1,IF(stat_select=2, "a = "&amp;a20_3p_st2&amp;"    b = "&amp;b20_3p_st2&amp;"    c = "&amp;d20_3p_st2,IF(stat_select=3, "a = "&amp;a20_3p_st3&amp;"    b = "&amp;b20_3p_st3&amp;"    c = "&amp;d20_3p_st3,IF(stat_select=4, "a = "&amp;a20_3p_st4&amp;"    b = "&amp;b20_3p_st4&amp;"    c = "&amp;d20_3p_st4,IF(stat_select=5, "a = "&amp;a20_3p_st5&amp;"    b = "&amp;b20_3p_st5&amp;"    c = "&amp;d20_3p_st5,IF(stat_select=6, IF(OR(E215="",F215="",G215="",$C$203=""),"-","a = "&amp;E215&amp;"    b = "&amp;F215&amp;"    c = "&amp;G215))))))),IF(AND(param_select=3,$E$257&lt;&gt;"-"),"Fq = "&amp;"0.96","-")))))))</f>
        <v>-</v>
      </c>
      <c r="G257" s="332"/>
      <c r="H257" s="191"/>
      <c r="I257" s="203"/>
      <c r="J257" s="203"/>
      <c r="K257" s="191"/>
      <c r="L257" s="191"/>
      <c r="M257" s="191"/>
      <c r="N257" s="191"/>
      <c r="O257" s="191"/>
      <c r="P257" s="191"/>
      <c r="Q257" s="191"/>
      <c r="R257" s="191"/>
      <c r="S257" s="191"/>
      <c r="T257" s="191"/>
    </row>
    <row r="258" spans="1:20" ht="15" customHeight="1">
      <c r="A258" s="371">
        <v>25</v>
      </c>
      <c r="B258" s="371"/>
      <c r="C258" s="222" t="str" cm="1">
        <f t="array" ref="C258">IF(OR($E$246="I25,60",ISNA(stat_select),bool_tc_mauvais,$C$173="-"),"-",IF(stat_select=1,a25_2p_st1*($C$173/60)^b25_2p_st1,IF(stat_select=2,a25_2p_st2*($C$173/60)^b25_2p_st2,IF(stat_select=3,a25_2p_st3*($C$173/60)^b25_2p_st3,IF(stat_select=4,a25_2p_st4*($C$173/60)^b25_2p_st4,IF(stat_select=5,a25_2p_st5*($C$173/60)^b25_2p_st5,IF(stat_select=6,IF(OR(C216="",D216="",$C$203=""),"-",IF($C$203="Temps (t) en heures",C216*($C$173/60)^D216,IF($C$203="Temps (t) en minutes",C216/($C$173^D216), "-"))))))))))</f>
        <v>-</v>
      </c>
      <c r="D258" s="226" t="str" cm="1">
        <f t="array" ref="D258">IF(OR($E$246="I25,60",ISNA(stat_select),bool_tc_mauvais,$C$173="-"),"-",IF(stat_select=1,a25_3p_st1*(($C$173/60)+d25_3p_st1)^b25_3p_st1,IF(stat_select=2,a25_3p_st2*(($C$173/60)+d25_3p_st2)^b25_3p_st2,IF(stat_select=3,a25_3p_st3*(($C$173/60)+d25_3p_st3)^b25_3p_st3,IF(stat_select=4,a25_3p_st4*(($C$173/60)+d25_3p_st4)^b25_3p_st4,IF(stat_select=5,a25_3p_st5*(($C$173/60)+d25_3p_st5)^b25_3p_st5,IF(stat_select=6,IF(OR(E216="",F216="",G216="",$C$203=""),"-",IF($C$203="Temps (t) en heures",E216*(($C$173/60)+G216)^F216,IF($C$203="Temps (t) en minutes",E216/($C$173+F216)^G216, "-"))))))))))</f>
        <v>-</v>
      </c>
      <c r="E258" s="226" t="str" cm="1">
        <f t="array" ref="E258">IF(OR(AND($E$246="I25,60",$E$247&lt;&gt;"Fq &amp; Fi"),bool_tc_mauvais,C173="-",E242="-"),"-",IF(AND(OR(AND($E$246="Station personnalisée",$D$228="Station personnalisée"),$E$246="I25,60"),$D$229&lt;&gt;""),1*$E$242*$D$229,IF(OR($E$246="",ISNA(stat_select)),"-",IF(stat_select=1,1*$E$242*$C$193,IF(stat_select=2,1*$E$242*$D$193,IF(stat_select=3,1*$E$242*$E$193,IF(stat_select=4,1*$E$242*$F$193,IF(stat_select=5,1*$E$242*$G$193,"-"))))))))</f>
        <v>-</v>
      </c>
      <c r="F258" s="410" t="str" cm="1">
        <f t="array" ref="F258">IF(AND($E$246="I25,60",param_select&lt;&gt;3),"-",IF(OR($E$246="",param_select="",bool_tc_mauvais,$C$173="-"),"-",IF(AND($E$246="I25,60",$E$258&lt;&gt;"-",param_select=3),"Fq = "&amp;"1.00",IF(ISNA(stat_select),"-",IF(param_select=1,IF(stat_select=1, "a = "&amp;a25_2p_st1&amp;"    b = "&amp;b25_2p_st1,IF(stat_select=2, "a = "&amp;a25_2p_st2&amp;"    b = "&amp;b25_2p_st2, IF(stat_select=3, "a = "&amp;a25_2p_st3&amp;"    b = "&amp;b25_2p_st3,IF(stat_select=4, "a = "&amp;a25_2p_st4&amp;"    b = "&amp;b25_2p_st4,IF(stat_select=5, "a = "&amp;a25_2p_st5&amp;"    b = "&amp;b25_2p_st5,IF(stat_select=6, IF(OR(C216="",D216="",$C$203=""),"-",IF($C$203="Temps (t) en heures","a = "&amp;C216&amp;"    b = "&amp;D216,"a = "&amp;C216&amp;"    c = "&amp;D216)))))))),IF(param_select=2,IF(stat_select=1, "a = "&amp;a25_3p_st1&amp;"    b = "&amp;b25_3p_st1&amp;"    c = "&amp;d25_3p_st1,IF(stat_select=2, "a = "&amp;a25_3p_st2&amp;"    b = "&amp;b25_3p_st2&amp;"    c = "&amp;d25_3p_st2,IF(stat_select=3, "a = "&amp;a25_3p_st3&amp;"    b = "&amp;b25_3p_st3&amp;"    c = "&amp;d25_3p_st3,IF(stat_select=4, "a = "&amp;a25_3p_st4&amp;"    b = "&amp;b25_3p_st4&amp;"    c = "&amp;d25_3p_st4,IF(stat_select=5, "a = "&amp;a25_3p_st5&amp;"    b = "&amp;b25_3p_st5&amp;"    c = "&amp;d25_3p_st5,IF(stat_select=6, IF(OR(E216="",F216="",G216="",$C$203=""),"-","a = "&amp;E216&amp;"    b = "&amp;F216&amp;"    c = "&amp;G216))))))),IF(AND(param_select=3,$E$258&lt;&gt;"-"),"Fq = "&amp;"1.00","-")))))))</f>
        <v>-</v>
      </c>
      <c r="G258" s="410"/>
      <c r="H258" s="191"/>
      <c r="I258" s="203"/>
      <c r="J258" s="203"/>
      <c r="K258" s="191"/>
      <c r="L258" s="191"/>
      <c r="M258" s="191"/>
      <c r="N258" s="191"/>
      <c r="O258" s="191"/>
      <c r="P258" s="191"/>
      <c r="Q258" s="191"/>
      <c r="R258" s="191"/>
      <c r="S258" s="191"/>
      <c r="T258" s="191"/>
    </row>
    <row r="259" spans="1:20" ht="15" customHeight="1">
      <c r="A259" s="409">
        <v>50</v>
      </c>
      <c r="B259" s="409"/>
      <c r="C259" s="221" t="str" cm="1">
        <f t="array" ref="C259">IF(OR($E$246="I25,60",ISNA(stat_select),bool_tc_mauvais,$C$173="-"),"-",IF(stat_select=1,a50_2p_st1*($C$173/60)^b50_2p_st1,IF(stat_select=2,a50_2p_st2*($C$173/60)^b50_2p_st2,IF(stat_select=3,a50_2p_st3*($C$173/60)^b50_2p_st3,IF(stat_select=4,a50_2p_st4*($C$173/60)^b50_2p_st4,IF(stat_select=5,a50_2p_st5*($C$173/60)^b50_2p_st5,IF(stat_select=6,IF(OR(C217="",D217="",$C$203=""),"-",IF($C$203="Temps (t) en heures",C217*($C$173/60)^D217,IF($C$203="Temps (t) en minutes",C217/($C$173^D217), "-"))))))))))</f>
        <v>-</v>
      </c>
      <c r="D259" s="225" t="str" cm="1">
        <f t="array" ref="D259">IF(OR($E$246="I25,60",ISNA(stat_select),bool_tc_mauvais,$C$173="-"),"-",IF(stat_select=1,a50_3p_st1*(($C$173/60)+d50_3p_st1)^b50_3p_st1,IF(stat_select=2,a50_3p_st2*(($C$173/60)+d50_3p_st2)^b50_3p_st2,IF(stat_select=3,a50_3p_st3*(($C$173/60)+d50_3p_st3)^b50_3p_st3,IF(stat_select=4,a50_3p_st4*(($C$173/60)+d50_3p_st4)^b50_3p_st4,IF(stat_select=5,a50_3p_st5*(($C$173/60)+d50_3p_st5)^b50_3p_st5,IF(stat_select=6,IF(OR(E217="",F217="",G217="",$C$203=""),"-",IF($C$203="Temps (t) en heures",E217*(($C$173/60)+G217)^F217,IF($C$203="Temps (t) en minutes",E217/($C$173+F217)^G217, "-"))))))))))</f>
        <v>-</v>
      </c>
      <c r="E259" s="225" t="str" cm="1">
        <f t="array" ref="E259">IF(OR(AND($E$246="I25,60",$E$247&lt;&gt;"Fq &amp; Fi"),bool_tc_mauvais,C173="-",E242="-"),"-",IF(AND(OR(AND($E$246="Station personnalisée",$D$228="Station personnalisée"),$E$246="I25,60"),$D$229&lt;&gt;""),1.11*$E$242*$D$229,IF(OR($E$246="",ISNA(stat_select)),"-",IF(stat_select=1,1.11*$E$242*$C$193,IF(stat_select=2,1.11*$E$242*$D$193,IF(stat_select=3,1.11*$E$242*$E$193,IF(stat_select=4,1.11*$E$242*$F$193,IF(stat_select=5,1.11*$E$242*$G$193,"-"))))))))</f>
        <v>-</v>
      </c>
      <c r="F259" s="332" t="str" cm="1">
        <f t="array" ref="F259">IF(AND($E$246="I25,60",param_select&lt;&gt;3),"-",IF(OR($E$246="",param_select="",bool_tc_mauvais,$C$173="-"),"-",IF(AND($E$246="I25,60",$E$259&lt;&gt;"-",param_select=3),"Fq = "&amp;"1.11",IF(ISNA(stat_select),"-",IF(param_select=1,IF(stat_select=1, "a = "&amp;a50_2p_st1&amp;"    b = "&amp;b50_2p_st1,IF(stat_select=2, "a = "&amp;a50_2p_st2&amp;"    b = "&amp;b50_2p_st2, IF(stat_select=3, "a = "&amp;a50_2p_st3&amp;"    b = "&amp;b50_2p_st3,IF(stat_select=4, "a = "&amp;a50_2p_st4&amp;"    b = "&amp;b50_2p_st4,IF(stat_select=5, "a = "&amp;a50_2p_st5&amp;"    b = "&amp;b50_2p_st5,IF(stat_select=6, IF(OR(C217="",D217="",$C$203=""),"-",IF($C$203="Temps (t) en heures","a = "&amp;C217&amp;"    b = "&amp;D217,"a = "&amp;C217&amp;"    c = "&amp;D217)))))))),IF(param_select=2,IF(stat_select=1, "a = "&amp;a50_3p_st1&amp;"    b = "&amp;b50_3p_st1&amp;"    c = "&amp;d50_3p_st1,IF(stat_select=2, "a = "&amp;a50_3p_st2&amp;"    b = "&amp;b50_3p_st2&amp;"    c = "&amp;d50_3p_st2,IF(stat_select=3, "a = "&amp;a50_3p_st3&amp;"    b = "&amp;b50_3p_st3&amp;"    c = "&amp;d50_3p_st3,IF(stat_select=4, "a = "&amp;a50_3p_st4&amp;"    b = "&amp;b50_3p_st4&amp;"    c = "&amp;d50_3p_st4,IF(stat_select=5, "a = "&amp;a50_3p_st5&amp;"    b = "&amp;b50_3p_st5&amp;"    c = "&amp;d50_3p_st5,IF(stat_select=6, IF(OR(E217="",F217="",G217="",$C$203=""),"-","a = "&amp;E217&amp;"    b = "&amp;F217&amp;"    c = "&amp;G217))))))),IF(AND(param_select=3,$E$259&lt;&gt;"-"),"Fq = "&amp;"1.11","-")))))))</f>
        <v>-</v>
      </c>
      <c r="G259" s="332"/>
      <c r="H259" s="191"/>
      <c r="I259" s="203"/>
      <c r="J259" s="203"/>
      <c r="K259" s="191"/>
      <c r="L259" s="191"/>
      <c r="M259" s="191"/>
      <c r="N259" s="191"/>
      <c r="O259" s="191"/>
      <c r="P259" s="191"/>
      <c r="Q259" s="191"/>
      <c r="R259" s="191"/>
      <c r="S259" s="191"/>
      <c r="T259" s="191"/>
    </row>
    <row r="260" spans="1:20" ht="15" customHeight="1">
      <c r="A260" s="408">
        <v>100</v>
      </c>
      <c r="B260" s="408"/>
      <c r="C260" s="223" t="str" cm="1">
        <f t="array" ref="C260">IF(OR($E$246="I25,60",ISNA(stat_select),bool_tc_mauvais,$C$173="-"),"-",IF(stat_select=1,a100_2p_st1*($C$173/60)^b100_2p_st1,IF(stat_select=2,a100_2p_st2*($C$173/60)^b100_2p_st2,IF(stat_select=3,a100_2p_st3*($C$173/60)^b100_2p_st3,IF(stat_select=4,a100_2p_st4*($C$173/60)^b100_2p_st4,IF(stat_select=5,a100_2p_st5*($C$173/60)^b100_2p_st5,IF(stat_select=6,IF(OR(C218="",D218="",$C$203=""),"-",IF($C$203="Temps (t) en heures",C218*($C$173/60)^D218,IF($C$203="Temps (t) en minutes",C218/($C$173^D218), "-"))))))))))</f>
        <v>-</v>
      </c>
      <c r="D260" s="227" t="str" cm="1">
        <f t="array" ref="D260">IF(OR($E$246="I25,60",ISNA(stat_select),bool_tc_mauvais,$C$173="-"),"-",IF(stat_select=1,a100_3p_st1*(($C$173/60)+d100_3p_st1)^b100_3p_st1,IF(stat_select=2,a100_3p_st2*(($C$173/60)+d100_3p_st2)^b100_3p_st2,IF(stat_select=3,a100_3p_st3*(($C$173/60)+d100_3p_st3)^b100_3p_st3,IF(stat_select=4,a100_3p_st4*(($C$173/60)+d100_3p_st4)^b100_3p_st4,IF(stat_select=5,a100_3p_st5*(($C$173/60)+d100_3p_st5)^b100_3p_st5,IF(stat_select=6,IF(OR(E218="",F218="",G218="",$C$203=""),"-",IF($C$203="Temps (t) en heures",E218*(($C$173/60)+G218)^F218,IF($C$203="Temps (t) en minutes",E218/($C$173+F218)^G218, "-"))))))))))</f>
        <v>-</v>
      </c>
      <c r="E260" s="227" t="str" cm="1">
        <f t="array" ref="E260">IF(OR(AND($E$246="I25,60",$E$247&lt;&gt;"Fq &amp; Fi"),bool_tc_mauvais,C173="-",E242="-"),"-",IF(AND(OR(AND($E$246="Station personnalisée",$D$228="Station personnalisée"),$E$246="I25,60"),$D$229&lt;&gt;""),1.23*$E$242*$D$229,IF(OR($E$246="",ISNA(stat_select)),"-",IF(stat_select=1,1.23*$E$242*$C$193,IF(stat_select=2,1.23*$E$242*$D$193,IF(stat_select=3,1.23*$E$242*$E$193,IF(stat_select=4,1.23*$E$242*$F$193,IF(stat_select=5,1.23*$E$242*$G$193,"-"))))))))</f>
        <v>-</v>
      </c>
      <c r="F260" s="407" t="str" cm="1">
        <f t="array" ref="F260">IF(AND($E$246="I25,60",param_select&lt;&gt;3),"-",IF(OR($E$246="",param_select="",bool_tc_mauvais,$C$173="-"),"-",IF(AND($E$246="I25,60",$E$260&lt;&gt;"-",param_select=3),"Fq = "&amp;"1.23",IF(ISNA(stat_select),"-",IF(param_select=1,IF(stat_select=1, "a = "&amp;a100_2p_st1&amp;"    b = "&amp;b100_2p_st1,IF(stat_select=2, "a = "&amp;a100_2p_st2&amp;"    b = "&amp;b100_2p_st2, IF(stat_select=3, "a = "&amp;a100_2p_st3&amp;"    b = "&amp;b100_2p_st3,IF(stat_select=4, "a = "&amp;a100_2p_st4&amp;"    b = "&amp;b100_2p_st4,IF(stat_select=5, "a = "&amp;a100_2p_st5&amp;"    b = "&amp;b100_2p_st5,IF(stat_select=6, IF(OR(C218="",D218="",$C$203=""),"-",IF($C$203="Temps (t) en heures","a = "&amp;C218&amp;"    b = "&amp;D218,"a = "&amp;C218&amp;"    c = "&amp;D218)))))))),IF(param_select=2,IF(stat_select=1, "a = "&amp;a100_3p_st1&amp;"    b = "&amp;b100_3p_st1&amp;"    c = "&amp;d100_3p_st1,IF(stat_select=2, "a = "&amp;a100_3p_st2&amp;"    b = "&amp;b100_3p_st2&amp;"    c = "&amp;d100_3p_st2,IF(stat_select=3, "a = "&amp;a100_3p_st3&amp;"    b = "&amp;b100_3p_st3&amp;"    c = "&amp;d100_3p_st3,IF(stat_select=4, "a = "&amp;a100_3p_st4&amp;"    b = "&amp;b100_3p_st4&amp;"    c = "&amp;d100_3p_st4,IF(stat_select=5, "a = "&amp;a100_3p_st5&amp;"    b = "&amp;b100_3p_st5&amp;"    c = "&amp;d100_3p_st5,IF(stat_select=6, IF(OR(E218="",F218="",G218="",$C$203=""),"-","a = "&amp;E218&amp;"    b = "&amp;F218&amp;"    c = "&amp;G218))))))),IF(AND(param_select=3,$E$260&lt;&gt;"-"),"Fq = "&amp;"1.23","-")))))))</f>
        <v>-</v>
      </c>
      <c r="G260" s="407"/>
      <c r="H260" s="191"/>
      <c r="I260" s="203"/>
      <c r="J260" s="203"/>
      <c r="K260" s="191"/>
      <c r="L260" s="191"/>
      <c r="M260" s="191"/>
      <c r="N260" s="191"/>
      <c r="O260" s="191"/>
      <c r="P260" s="191"/>
      <c r="Q260" s="191"/>
      <c r="R260" s="191"/>
      <c r="S260" s="191"/>
      <c r="T260" s="191"/>
    </row>
    <row r="261" spans="1:20" ht="25.5">
      <c r="A261" s="346" t="s">
        <v>535</v>
      </c>
      <c r="B261" s="346"/>
      <c r="C261" s="346"/>
      <c r="D261" s="346"/>
      <c r="E261" s="346"/>
      <c r="F261" s="346"/>
      <c r="G261" s="346"/>
      <c r="H261" s="191"/>
      <c r="I261" s="191"/>
      <c r="J261" s="191"/>
      <c r="K261" s="191"/>
      <c r="L261" s="191"/>
      <c r="M261" s="191"/>
      <c r="N261" s="191"/>
      <c r="O261" s="191"/>
      <c r="P261" s="191"/>
      <c r="Q261" s="191"/>
      <c r="R261" s="191"/>
      <c r="S261" s="191"/>
      <c r="T261" s="191"/>
    </row>
    <row r="262" spans="1:20">
      <c r="A262" s="21"/>
      <c r="B262" s="21"/>
      <c r="C262" s="21"/>
      <c r="D262" s="21"/>
      <c r="E262" s="21"/>
      <c r="F262" s="21"/>
      <c r="G262" s="21"/>
      <c r="H262" s="191"/>
      <c r="I262" s="191"/>
      <c r="J262" s="191"/>
      <c r="K262" s="191"/>
      <c r="L262" s="191"/>
      <c r="M262" s="191"/>
      <c r="N262" s="191"/>
      <c r="O262" s="191"/>
      <c r="P262" s="191"/>
      <c r="Q262" s="191"/>
      <c r="R262" s="191"/>
      <c r="S262" s="191"/>
      <c r="T262" s="191"/>
    </row>
    <row r="263" spans="1:20" ht="20.45" customHeight="1">
      <c r="A263" s="360" t="s">
        <v>672</v>
      </c>
      <c r="B263" s="360"/>
      <c r="C263" s="360"/>
      <c r="D263" s="360"/>
      <c r="E263" s="360"/>
      <c r="F263" s="360"/>
      <c r="G263" s="236" t="s">
        <v>627</v>
      </c>
      <c r="H263" s="191"/>
      <c r="I263" s="191"/>
      <c r="J263" s="191"/>
      <c r="K263" s="191"/>
      <c r="L263" s="191"/>
      <c r="M263" s="191"/>
      <c r="N263" s="191"/>
      <c r="O263" s="191"/>
      <c r="P263" s="191"/>
      <c r="Q263" s="191"/>
      <c r="R263" s="191"/>
      <c r="S263" s="191"/>
      <c r="T263" s="191"/>
    </row>
    <row r="264" spans="1:20" ht="18" customHeight="1">
      <c r="A264" s="76"/>
      <c r="B264" s="76"/>
      <c r="C264" s="76"/>
      <c r="D264" s="76"/>
      <c r="E264" s="76"/>
      <c r="F264" s="76"/>
      <c r="G264" s="76"/>
      <c r="H264" s="191"/>
      <c r="I264" s="234"/>
      <c r="J264" s="191"/>
      <c r="K264" s="191"/>
      <c r="L264" s="191"/>
      <c r="M264" s="191"/>
      <c r="N264" s="191"/>
      <c r="O264" s="191"/>
      <c r="P264" s="191"/>
      <c r="Q264" s="191"/>
      <c r="R264" s="191"/>
      <c r="S264" s="191"/>
      <c r="T264" s="191"/>
    </row>
    <row r="265" spans="1:20" ht="15.75">
      <c r="A265" s="123" t="s">
        <v>573</v>
      </c>
      <c r="B265" s="129"/>
      <c r="C265" s="76"/>
      <c r="D265" s="76"/>
      <c r="E265" s="76"/>
      <c r="F265" s="76"/>
      <c r="G265" s="76"/>
      <c r="H265" s="191"/>
      <c r="I265" s="191"/>
      <c r="J265" s="191"/>
      <c r="K265" s="191"/>
      <c r="L265" s="191"/>
      <c r="M265" s="191"/>
      <c r="N265" s="191"/>
      <c r="O265" s="191"/>
      <c r="P265" s="191"/>
      <c r="Q265" s="191"/>
      <c r="R265" s="191"/>
      <c r="S265" s="191"/>
      <c r="T265" s="191"/>
    </row>
    <row r="266" spans="1:20" ht="18.75">
      <c r="A266" s="123" t="s">
        <v>673</v>
      </c>
      <c r="B266" s="129"/>
      <c r="C266" s="76"/>
      <c r="D266" s="76"/>
      <c r="E266" s="76"/>
      <c r="F266" s="76"/>
      <c r="G266" s="76"/>
      <c r="H266" s="191"/>
      <c r="I266" s="191"/>
      <c r="J266" s="191"/>
      <c r="K266" s="191"/>
      <c r="L266" s="191"/>
      <c r="M266" s="191"/>
      <c r="N266" s="191"/>
      <c r="O266" s="191"/>
      <c r="P266" s="191"/>
      <c r="Q266" s="191"/>
      <c r="R266" s="191"/>
      <c r="S266" s="191"/>
      <c r="T266" s="191"/>
    </row>
    <row r="267" spans="1:20" ht="13.5" thickBot="1">
      <c r="A267" s="129"/>
      <c r="B267" s="129"/>
      <c r="C267" s="143"/>
      <c r="D267" s="76"/>
      <c r="E267" s="76"/>
      <c r="F267" s="76"/>
      <c r="G267" s="76"/>
      <c r="H267" s="191"/>
      <c r="I267" s="191"/>
      <c r="J267" s="191"/>
      <c r="K267" s="191"/>
      <c r="L267" s="191"/>
      <c r="M267" s="191"/>
      <c r="N267" s="191"/>
      <c r="O267" s="191"/>
      <c r="P267" s="191"/>
      <c r="Q267" s="191"/>
      <c r="R267" s="191"/>
      <c r="S267" s="191"/>
      <c r="T267" s="191"/>
    </row>
    <row r="268" spans="1:20" ht="17.25" thickTop="1" thickBot="1">
      <c r="A268" s="375" t="s">
        <v>522</v>
      </c>
      <c r="B268" s="375"/>
      <c r="C268" s="5"/>
      <c r="D268" s="364" t="str">
        <f>IF(OR(C271=0,C268&lt;&gt;""),"",IF(AND(C271&lt;&gt;"-",C268=""),"Il faut assigner une valeur (A,B ou C) pour la distribution des lacs et marécages dans le bassin versant",""))</f>
        <v/>
      </c>
      <c r="E268" s="364"/>
      <c r="F268" s="364"/>
      <c r="G268" s="76"/>
      <c r="H268" s="191"/>
      <c r="I268" s="191"/>
      <c r="J268" s="191"/>
      <c r="K268" s="191"/>
      <c r="L268" s="191"/>
      <c r="M268" s="191"/>
      <c r="N268" s="191"/>
      <c r="O268" s="191"/>
      <c r="P268" s="191"/>
      <c r="Q268" s="191"/>
      <c r="R268" s="191"/>
      <c r="S268" s="191"/>
      <c r="T268" s="191"/>
    </row>
    <row r="269" spans="1:20" ht="17.25" thickTop="1" thickBot="1">
      <c r="A269" s="404" t="s">
        <v>520</v>
      </c>
      <c r="B269" s="404"/>
      <c r="C269" s="242" t="str" cm="1">
        <f t="array" ref="C269">IF(D141="-","-",IF(OR(aire_lacs=0,aire_consid_pgrand_bv,aire_considerees=0), "0",100*(SUMIF($A$123:$B$137,"Lacs (coefficient personnalisé)",$D$123:$D$137) + $D$120)/$C$44))</f>
        <v>-</v>
      </c>
      <c r="D269" s="76"/>
      <c r="E269" s="76"/>
      <c r="F269" s="76"/>
      <c r="G269" s="76"/>
      <c r="H269" s="191"/>
      <c r="I269" s="191"/>
      <c r="J269" s="241"/>
      <c r="K269" s="191"/>
      <c r="L269" s="191"/>
      <c r="M269" s="191"/>
      <c r="N269" s="191"/>
      <c r="O269" s="191"/>
      <c r="P269" s="191"/>
      <c r="Q269" s="191"/>
      <c r="R269" s="191"/>
      <c r="S269" s="191"/>
      <c r="T269" s="191"/>
    </row>
    <row r="270" spans="1:20" ht="17.25" thickTop="1" thickBot="1">
      <c r="A270" s="404" t="s">
        <v>521</v>
      </c>
      <c r="B270" s="404"/>
      <c r="C270" s="243" t="str" cm="1">
        <f t="array" ref="C270">IF(D141="-","-",IF(OR(aire_marécages=0,aire_consid_pgrand_bv,aire_considerees=0), "0",100*(SUMIF($A$123:$B$137,"Marécages (coefficient personnalisé)",$D$123:$D$137) + $D$121)/$C$44))</f>
        <v>-</v>
      </c>
      <c r="D270" s="76"/>
      <c r="E270" s="76"/>
      <c r="F270" s="76"/>
      <c r="G270" s="76"/>
      <c r="H270" s="191"/>
      <c r="I270" s="191"/>
      <c r="J270" s="191"/>
      <c r="K270" s="191"/>
      <c r="L270" s="191"/>
      <c r="M270" s="191"/>
      <c r="N270" s="191"/>
      <c r="O270" s="191"/>
      <c r="P270" s="191"/>
      <c r="Q270" s="191"/>
      <c r="R270" s="191"/>
      <c r="S270" s="191"/>
      <c r="T270" s="191"/>
    </row>
    <row r="271" spans="1:20" ht="17.25" thickTop="1" thickBot="1">
      <c r="A271" s="404" t="s">
        <v>586</v>
      </c>
      <c r="B271" s="404"/>
      <c r="C271" s="243" t="str">
        <f>IF(D141="-","-",IF(AND(C269="-",C270="-"),"0",SUM(C269:C270)))</f>
        <v>-</v>
      </c>
      <c r="D271" s="76"/>
      <c r="E271" s="76"/>
      <c r="F271" s="76"/>
      <c r="G271" s="76"/>
      <c r="H271" s="191"/>
      <c r="I271" s="191"/>
      <c r="J271" s="191"/>
      <c r="K271" s="191"/>
      <c r="L271" s="191"/>
      <c r="M271" s="191"/>
      <c r="N271" s="191"/>
      <c r="O271" s="191"/>
      <c r="P271" s="191"/>
      <c r="Q271" s="191"/>
      <c r="R271" s="191"/>
      <c r="S271" s="191"/>
      <c r="T271" s="191"/>
    </row>
    <row r="272" spans="1:20" ht="20.25" thickTop="1" thickBot="1">
      <c r="A272" s="375" t="s">
        <v>529</v>
      </c>
      <c r="B272" s="375"/>
      <c r="C272" s="144" t="str" cm="1">
        <f t="array" ref="C272">IF(C271=0,1,IF(OR(C268="",C271="-"),"-",IF(C268="A - Voisinage du site à l'étude",coeff_lam_a,IF(C268="B - Uniformément réparti",coeff_lam_b,IF(C268="C - En tête de bassin versant",coeff_lam_c,1)))))</f>
        <v>-</v>
      </c>
      <c r="D272" s="76"/>
      <c r="E272" s="76"/>
      <c r="F272" s="76"/>
      <c r="G272" s="76"/>
      <c r="H272" s="191"/>
      <c r="I272" s="191"/>
      <c r="J272" s="191"/>
      <c r="K272" s="191"/>
      <c r="L272" s="191"/>
      <c r="M272" s="191"/>
      <c r="N272" s="191"/>
      <c r="O272" s="191"/>
      <c r="P272" s="191"/>
      <c r="Q272" s="191"/>
      <c r="R272" s="191"/>
      <c r="S272" s="191"/>
      <c r="T272" s="191"/>
    </row>
    <row r="273" spans="1:20" ht="13.5" thickTop="1">
      <c r="A273" s="95"/>
      <c r="B273" s="76"/>
      <c r="C273" s="145"/>
      <c r="D273" s="76"/>
      <c r="E273" s="76"/>
      <c r="F273" s="76"/>
      <c r="G273" s="76"/>
      <c r="H273" s="191"/>
      <c r="I273" s="191"/>
      <c r="J273" s="191"/>
      <c r="K273" s="191"/>
      <c r="L273" s="191"/>
      <c r="M273" s="191"/>
      <c r="N273" s="191"/>
      <c r="O273" s="191"/>
      <c r="P273" s="191"/>
      <c r="Q273" s="191"/>
      <c r="R273" s="191"/>
      <c r="S273" s="191"/>
      <c r="T273" s="191"/>
    </row>
    <row r="274" spans="1:20">
      <c r="A274" s="95"/>
      <c r="B274" s="76"/>
      <c r="C274" s="76"/>
      <c r="D274" s="76"/>
      <c r="E274" s="76"/>
      <c r="F274" s="76"/>
      <c r="G274" s="76"/>
      <c r="H274" s="191"/>
      <c r="I274" s="191"/>
      <c r="J274" s="191"/>
      <c r="K274" s="191"/>
      <c r="L274" s="191"/>
      <c r="M274" s="191"/>
      <c r="N274" s="191"/>
      <c r="O274" s="191"/>
      <c r="P274" s="191"/>
      <c r="Q274" s="191"/>
      <c r="R274" s="191"/>
      <c r="S274" s="191"/>
      <c r="T274" s="191"/>
    </row>
    <row r="275" spans="1:20" ht="20.45" customHeight="1">
      <c r="A275" s="360" t="s">
        <v>544</v>
      </c>
      <c r="B275" s="360"/>
      <c r="C275" s="360"/>
      <c r="D275" s="360"/>
      <c r="E275" s="360"/>
      <c r="F275" s="360"/>
      <c r="G275" s="76"/>
      <c r="H275" s="203"/>
      <c r="I275" s="191"/>
      <c r="J275" s="191"/>
      <c r="K275" s="191"/>
      <c r="L275" s="191"/>
      <c r="M275" s="191"/>
      <c r="N275" s="191"/>
      <c r="O275" s="191"/>
      <c r="P275" s="191"/>
      <c r="Q275" s="191"/>
      <c r="R275" s="191"/>
      <c r="S275" s="191"/>
      <c r="T275" s="191"/>
    </row>
    <row r="276" spans="1:20">
      <c r="A276" s="21"/>
      <c r="B276" s="21"/>
      <c r="C276" s="76"/>
      <c r="D276" s="76"/>
      <c r="E276" s="146"/>
      <c r="F276" s="146"/>
      <c r="G276" s="146"/>
      <c r="H276" s="203"/>
      <c r="I276" s="191"/>
      <c r="J276" s="191"/>
      <c r="K276" s="191"/>
      <c r="L276" s="191"/>
      <c r="M276" s="191"/>
      <c r="N276" s="191"/>
      <c r="O276" s="191"/>
      <c r="P276" s="191"/>
      <c r="Q276" s="191"/>
      <c r="R276" s="191"/>
      <c r="S276" s="191"/>
      <c r="T276" s="191"/>
    </row>
    <row r="277" spans="1:20" ht="18.75">
      <c r="A277" s="123" t="s">
        <v>675</v>
      </c>
      <c r="B277" s="21"/>
      <c r="C277" s="76"/>
      <c r="D277" s="76"/>
      <c r="E277" s="146"/>
      <c r="F277" s="146"/>
      <c r="G277" s="146"/>
      <c r="H277" s="203"/>
      <c r="I277" s="191"/>
      <c r="J277" s="191"/>
      <c r="K277" s="191"/>
      <c r="L277" s="191"/>
      <c r="M277" s="191"/>
      <c r="N277" s="191"/>
      <c r="O277" s="191"/>
      <c r="P277" s="191"/>
      <c r="Q277" s="191"/>
      <c r="R277" s="191"/>
      <c r="S277" s="191"/>
      <c r="T277" s="191"/>
    </row>
    <row r="278" spans="1:20" ht="15.75">
      <c r="A278" s="123"/>
      <c r="B278" s="21"/>
      <c r="C278" s="76"/>
      <c r="D278" s="76"/>
      <c r="E278" s="146"/>
      <c r="F278" s="146"/>
      <c r="G278" s="146"/>
      <c r="H278" s="203"/>
      <c r="I278" s="191"/>
      <c r="J278" s="191"/>
      <c r="K278" s="191"/>
      <c r="L278" s="191"/>
      <c r="M278" s="191"/>
      <c r="N278" s="191"/>
      <c r="O278" s="191"/>
      <c r="P278" s="191"/>
      <c r="Q278" s="191"/>
      <c r="R278" s="191"/>
      <c r="S278" s="191"/>
      <c r="T278" s="191"/>
    </row>
    <row r="279" spans="1:20" ht="15.75">
      <c r="A279" s="123"/>
      <c r="B279" s="21"/>
      <c r="C279" s="76"/>
      <c r="D279" s="76"/>
      <c r="E279" s="20"/>
      <c r="F279" s="146"/>
      <c r="G279" s="146"/>
      <c r="H279" s="203"/>
      <c r="I279" s="191"/>
      <c r="J279" s="191"/>
      <c r="K279" s="191"/>
      <c r="L279" s="191"/>
      <c r="M279" s="191"/>
      <c r="N279" s="191"/>
      <c r="O279" s="191"/>
      <c r="P279" s="191"/>
      <c r="Q279" s="191"/>
      <c r="R279" s="191"/>
      <c r="S279" s="191"/>
      <c r="T279" s="191"/>
    </row>
    <row r="280" spans="1:20" ht="15.75">
      <c r="A280" s="123"/>
      <c r="B280" s="21"/>
      <c r="C280" s="76"/>
      <c r="D280" s="76"/>
      <c r="E280" s="146"/>
      <c r="F280" s="146"/>
      <c r="G280" s="146"/>
      <c r="H280" s="203"/>
      <c r="I280" s="191"/>
      <c r="J280" s="191"/>
      <c r="K280" s="191"/>
      <c r="L280" s="191"/>
      <c r="M280" s="191"/>
      <c r="N280" s="191"/>
      <c r="O280" s="191"/>
      <c r="P280" s="191"/>
      <c r="Q280" s="191"/>
      <c r="R280" s="191"/>
      <c r="S280" s="191"/>
      <c r="T280" s="191"/>
    </row>
    <row r="281" spans="1:20">
      <c r="A281" s="21"/>
      <c r="B281" s="20"/>
      <c r="C281" s="76"/>
      <c r="D281" s="76"/>
      <c r="E281" s="146"/>
      <c r="F281" s="146"/>
      <c r="G281" s="146"/>
      <c r="H281" s="203"/>
      <c r="I281" s="191"/>
      <c r="J281" s="191"/>
      <c r="K281" s="191"/>
      <c r="L281" s="191"/>
      <c r="M281" s="191"/>
      <c r="N281" s="191"/>
      <c r="O281" s="191"/>
      <c r="P281" s="191"/>
      <c r="Q281" s="191"/>
      <c r="R281" s="191"/>
      <c r="S281" s="191"/>
      <c r="T281" s="191"/>
    </row>
    <row r="282" spans="1:20" ht="15.75">
      <c r="A282" s="123" t="s">
        <v>674</v>
      </c>
      <c r="B282" s="21"/>
      <c r="C282" s="76"/>
      <c r="D282" s="76"/>
      <c r="E282" s="146"/>
      <c r="F282" s="146"/>
      <c r="G282" s="146"/>
      <c r="H282" s="203"/>
      <c r="I282" s="191"/>
      <c r="J282" s="191"/>
      <c r="K282" s="191"/>
      <c r="L282" s="191"/>
      <c r="M282" s="191"/>
      <c r="N282" s="191"/>
      <c r="O282" s="191"/>
      <c r="P282" s="191"/>
      <c r="Q282" s="191"/>
      <c r="R282" s="191"/>
      <c r="S282" s="191"/>
      <c r="T282" s="191"/>
    </row>
    <row r="283" spans="1:20">
      <c r="A283" s="21"/>
      <c r="B283" s="21"/>
      <c r="C283" s="76"/>
      <c r="D283" s="76"/>
      <c r="E283" s="146"/>
      <c r="F283" s="146"/>
      <c r="G283" s="146"/>
      <c r="H283" s="203"/>
      <c r="I283" s="191"/>
      <c r="J283" s="191"/>
      <c r="K283" s="191"/>
      <c r="L283" s="191"/>
      <c r="M283" s="191"/>
      <c r="N283" s="191"/>
      <c r="O283" s="191"/>
      <c r="P283" s="191"/>
      <c r="Q283" s="191"/>
      <c r="R283" s="191"/>
      <c r="S283" s="191"/>
      <c r="T283" s="191"/>
    </row>
    <row r="284" spans="1:20" ht="12.75" customHeight="1">
      <c r="A284" s="21"/>
      <c r="B284" s="388" t="s">
        <v>523</v>
      </c>
      <c r="C284" s="388"/>
      <c r="D284" s="269"/>
      <c r="E284" s="76"/>
      <c r="F284" s="76"/>
      <c r="G284" s="76"/>
      <c r="H284" s="191"/>
      <c r="I284" s="191"/>
      <c r="J284" s="191"/>
      <c r="K284" s="191"/>
      <c r="L284" s="191"/>
      <c r="M284" s="191"/>
      <c r="N284" s="191"/>
      <c r="O284" s="191"/>
      <c r="P284" s="191"/>
      <c r="Q284" s="191"/>
      <c r="R284" s="191"/>
      <c r="S284" s="191"/>
      <c r="T284" s="191"/>
    </row>
    <row r="285" spans="1:20" ht="12.75" customHeight="1">
      <c r="A285" s="21"/>
      <c r="B285" s="147"/>
      <c r="C285" s="147"/>
      <c r="D285" s="148"/>
      <c r="E285" s="76"/>
      <c r="F285" s="76"/>
      <c r="G285" s="76"/>
      <c r="H285" s="191"/>
      <c r="I285" s="191"/>
      <c r="J285" s="191"/>
      <c r="K285" s="191"/>
      <c r="L285" s="191"/>
      <c r="M285" s="191"/>
      <c r="N285" s="191"/>
      <c r="O285" s="191"/>
      <c r="P285" s="191"/>
      <c r="Q285" s="191"/>
      <c r="R285" s="191"/>
      <c r="S285" s="191"/>
      <c r="T285" s="191"/>
    </row>
    <row r="286" spans="1:20" ht="12.75" customHeight="1">
      <c r="A286" s="66" t="s">
        <v>545</v>
      </c>
      <c r="B286" s="147"/>
      <c r="C286" s="147"/>
      <c r="D286" s="148"/>
      <c r="E286" s="76"/>
      <c r="F286" s="76"/>
      <c r="G286" s="76"/>
      <c r="H286" s="191"/>
      <c r="I286" s="191"/>
      <c r="J286" s="191"/>
      <c r="K286" s="191"/>
      <c r="L286" s="191"/>
      <c r="M286" s="191"/>
      <c r="N286" s="191"/>
      <c r="O286" s="191"/>
      <c r="P286" s="191"/>
      <c r="Q286" s="191"/>
      <c r="R286" s="191"/>
      <c r="S286" s="191"/>
      <c r="T286" s="191"/>
    </row>
    <row r="287" spans="1:20" ht="12.75" customHeight="1">
      <c r="A287" s="149"/>
      <c r="B287" s="149"/>
      <c r="C287" s="149"/>
      <c r="D287" s="76"/>
      <c r="E287" s="76"/>
      <c r="F287" s="76"/>
      <c r="G287" s="76"/>
      <c r="H287" s="191"/>
      <c r="I287" s="191"/>
      <c r="J287" s="191"/>
      <c r="K287" s="191"/>
      <c r="L287" s="191"/>
      <c r="M287" s="191"/>
      <c r="N287" s="191"/>
      <c r="O287" s="191"/>
      <c r="P287" s="191"/>
      <c r="Q287" s="191"/>
      <c r="R287" s="191"/>
      <c r="S287" s="191"/>
      <c r="T287" s="191"/>
    </row>
    <row r="288" spans="1:20" ht="36" customHeight="1">
      <c r="A288" s="389" t="s">
        <v>527</v>
      </c>
      <c r="B288" s="389"/>
      <c r="C288" s="150" t="s">
        <v>676</v>
      </c>
      <c r="D288" s="151" t="s">
        <v>526</v>
      </c>
      <c r="E288" s="152"/>
      <c r="F288" s="152"/>
      <c r="G288" s="76"/>
      <c r="H288" s="191"/>
      <c r="I288" s="191"/>
      <c r="J288" s="191"/>
      <c r="K288" s="191"/>
      <c r="L288" s="191"/>
      <c r="M288" s="191"/>
      <c r="N288" s="191"/>
      <c r="O288" s="191"/>
      <c r="P288" s="191"/>
      <c r="Q288" s="191"/>
      <c r="R288" s="191"/>
      <c r="S288" s="191"/>
      <c r="T288" s="191"/>
    </row>
    <row r="289" spans="1:20" ht="15.75">
      <c r="A289" s="387">
        <v>2</v>
      </c>
      <c r="B289" s="387"/>
      <c r="C289" s="270" t="str" cm="1">
        <f t="array" ref="C289">IF(OR($D$141="-",$C$44="",F254="-",C272="-"),"-",$C$272*$D$141*I2_tc*$C$44*100/360)</f>
        <v>-</v>
      </c>
      <c r="D289" s="271" t="str">
        <f t="shared" ref="D289:D295" si="6">IF(OR(C289="-",$D$284="",$D$284=0),"-",C289*(1+$D$284/100))</f>
        <v>-</v>
      </c>
      <c r="E289" s="146"/>
      <c r="F289" s="76"/>
      <c r="G289" s="76"/>
      <c r="H289" s="191"/>
      <c r="I289" s="191"/>
      <c r="J289" s="191"/>
      <c r="K289" s="191"/>
      <c r="L289" s="191"/>
      <c r="M289" s="191"/>
      <c r="N289" s="191"/>
      <c r="O289" s="191"/>
      <c r="P289" s="191"/>
      <c r="Q289" s="191"/>
      <c r="R289" s="191"/>
      <c r="S289" s="191"/>
      <c r="T289" s="191"/>
    </row>
    <row r="290" spans="1:20" ht="15.75">
      <c r="A290" s="387">
        <v>5</v>
      </c>
      <c r="B290" s="387"/>
      <c r="C290" s="270" t="str" cm="1">
        <f t="array" ref="C290">IF(OR($D$141="-",$C$44="",F255="-",C272="-"),"-",$C$272*$D$141*I5_tc*$C$44*100/360)</f>
        <v>-</v>
      </c>
      <c r="D290" s="271" t="str">
        <f t="shared" si="6"/>
        <v>-</v>
      </c>
      <c r="E290" s="146"/>
      <c r="F290" s="76"/>
      <c r="G290" s="76"/>
      <c r="H290" s="191"/>
      <c r="I290" s="191"/>
      <c r="J290" s="191"/>
      <c r="K290" s="191"/>
      <c r="L290" s="191"/>
      <c r="M290" s="191"/>
      <c r="N290" s="191"/>
      <c r="O290" s="191"/>
      <c r="P290" s="191"/>
      <c r="Q290" s="191"/>
      <c r="R290" s="191"/>
      <c r="S290" s="191"/>
      <c r="T290" s="191"/>
    </row>
    <row r="291" spans="1:20" ht="15.75">
      <c r="A291" s="387">
        <v>10</v>
      </c>
      <c r="B291" s="387"/>
      <c r="C291" s="270" t="str" cm="1">
        <f t="array" ref="C291">IF(OR($D$141="-",$C$44="",F256="-",C272="-"),"-",$C$272*$D$141*I10_tc*$C$44*100/360)</f>
        <v>-</v>
      </c>
      <c r="D291" s="271" t="str">
        <f t="shared" si="6"/>
        <v>-</v>
      </c>
      <c r="E291" s="146"/>
      <c r="F291" s="20"/>
      <c r="G291" s="76"/>
      <c r="H291" s="191"/>
      <c r="I291" s="191"/>
      <c r="J291" s="191"/>
      <c r="K291" s="191"/>
      <c r="L291" s="191"/>
      <c r="M291" s="191"/>
      <c r="N291" s="191"/>
      <c r="O291" s="191"/>
      <c r="P291" s="191"/>
      <c r="Q291" s="191"/>
      <c r="R291" s="191"/>
      <c r="S291" s="191"/>
      <c r="T291" s="191"/>
    </row>
    <row r="292" spans="1:20" ht="15.75">
      <c r="A292" s="387">
        <v>20</v>
      </c>
      <c r="B292" s="387"/>
      <c r="C292" s="270" t="str" cm="1">
        <f t="array" ref="C292">IF(OR($D$141="-",$C$44="",F257="-",C272="-"),"-",$C$272*$D$141*I20_tc*$C$44*100/360)</f>
        <v>-</v>
      </c>
      <c r="D292" s="271" t="str">
        <f t="shared" si="6"/>
        <v>-</v>
      </c>
      <c r="E292" s="146"/>
      <c r="F292" s="76"/>
      <c r="G292" s="76"/>
      <c r="H292" s="205"/>
      <c r="I292" s="205"/>
      <c r="J292" s="205"/>
      <c r="K292" s="205"/>
      <c r="L292" s="205"/>
      <c r="M292" s="191"/>
      <c r="N292" s="191"/>
      <c r="O292" s="191"/>
      <c r="P292" s="191"/>
      <c r="Q292" s="191"/>
      <c r="R292" s="191"/>
      <c r="S292" s="191"/>
      <c r="T292" s="191"/>
    </row>
    <row r="293" spans="1:20" ht="15.75">
      <c r="A293" s="387">
        <v>25</v>
      </c>
      <c r="B293" s="387"/>
      <c r="C293" s="270" t="str" cm="1">
        <f t="array" ref="C293">IF(OR($D$141="-",$C$44="",F258="-",C272="-"),"-",$C$272*$D$141*I25_tc*$C$44*100/360)</f>
        <v>-</v>
      </c>
      <c r="D293" s="271" t="str">
        <f t="shared" si="6"/>
        <v>-</v>
      </c>
      <c r="E293" s="146"/>
      <c r="F293" s="76"/>
      <c r="G293" s="76"/>
      <c r="H293" s="191"/>
      <c r="I293" s="191"/>
      <c r="J293" s="191"/>
      <c r="K293" s="191"/>
      <c r="L293" s="191"/>
      <c r="M293" s="191"/>
      <c r="N293" s="191"/>
      <c r="O293" s="191"/>
      <c r="P293" s="191"/>
      <c r="Q293" s="191"/>
      <c r="R293" s="191"/>
      <c r="S293" s="191"/>
      <c r="T293" s="191"/>
    </row>
    <row r="294" spans="1:20" ht="15.75">
      <c r="A294" s="387">
        <v>50</v>
      </c>
      <c r="B294" s="387"/>
      <c r="C294" s="270" t="str" cm="1">
        <f t="array" ref="C294">IF(OR($D$141="-",$C$44="",F259="-",C272="-"),"-",$C$272*$D$141*I50_tc*$C$44*100/360)</f>
        <v>-</v>
      </c>
      <c r="D294" s="271" t="str">
        <f t="shared" si="6"/>
        <v>-</v>
      </c>
      <c r="E294" s="146"/>
      <c r="F294" s="76"/>
      <c r="G294" s="76"/>
      <c r="H294" s="191"/>
      <c r="I294" s="191"/>
      <c r="J294" s="191"/>
      <c r="K294" s="191"/>
      <c r="L294" s="191"/>
      <c r="M294" s="191"/>
      <c r="N294" s="191"/>
      <c r="O294" s="191"/>
      <c r="P294" s="191"/>
      <c r="Q294" s="191"/>
      <c r="R294" s="191"/>
      <c r="S294" s="191"/>
      <c r="T294" s="191"/>
    </row>
    <row r="295" spans="1:20" ht="15.75">
      <c r="A295" s="387">
        <v>100</v>
      </c>
      <c r="B295" s="387"/>
      <c r="C295" s="270" t="str" cm="1">
        <f t="array" ref="C295">IF(OR($D$141="-",$C$44="",F260="-",C272="-"),"-",$C$272*$D$141*I100_tc*$C$44*100/360)</f>
        <v>-</v>
      </c>
      <c r="D295" s="271" t="str">
        <f t="shared" si="6"/>
        <v>-</v>
      </c>
      <c r="E295" s="146"/>
      <c r="F295" s="76"/>
      <c r="G295" s="76"/>
      <c r="H295" s="191"/>
      <c r="I295" s="191"/>
      <c r="J295" s="191"/>
      <c r="K295" s="191"/>
      <c r="L295" s="191"/>
      <c r="M295" s="191"/>
      <c r="N295" s="191"/>
      <c r="O295" s="191"/>
      <c r="P295" s="191"/>
      <c r="Q295" s="191"/>
      <c r="R295" s="191"/>
      <c r="S295" s="191"/>
      <c r="T295" s="191"/>
    </row>
    <row r="296" spans="1:20">
      <c r="A296" s="76"/>
      <c r="B296" s="76"/>
      <c r="C296" s="228"/>
      <c r="D296" s="76"/>
      <c r="E296" s="76"/>
      <c r="F296" s="76"/>
      <c r="G296" s="76"/>
      <c r="H296" s="191"/>
      <c r="I296" s="191"/>
      <c r="J296" s="191"/>
      <c r="K296" s="191"/>
      <c r="L296" s="191"/>
      <c r="M296" s="191"/>
      <c r="N296" s="191"/>
      <c r="O296" s="191"/>
      <c r="P296" s="191"/>
      <c r="Q296" s="191"/>
      <c r="R296" s="191"/>
      <c r="S296" s="191"/>
      <c r="T296" s="191"/>
    </row>
    <row r="297" spans="1:20" ht="24.95" customHeight="1">
      <c r="A297" s="346" t="s">
        <v>546</v>
      </c>
      <c r="B297" s="346"/>
      <c r="C297" s="346"/>
      <c r="D297" s="346"/>
      <c r="E297" s="346"/>
      <c r="F297" s="346"/>
      <c r="G297" s="346"/>
      <c r="H297" s="191"/>
      <c r="I297" s="191"/>
      <c r="J297" s="191"/>
      <c r="K297" s="191"/>
      <c r="L297" s="191"/>
      <c r="M297" s="191"/>
      <c r="N297" s="191"/>
      <c r="O297" s="191"/>
      <c r="P297" s="191"/>
      <c r="Q297" s="191"/>
      <c r="R297" s="191"/>
      <c r="S297" s="191"/>
      <c r="T297" s="191"/>
    </row>
    <row r="298" spans="1:20" ht="22.5" customHeight="1">
      <c r="A298" s="153"/>
      <c r="B298" s="153"/>
      <c r="C298" s="153"/>
      <c r="D298" s="153"/>
      <c r="E298" s="153"/>
      <c r="F298" s="153"/>
      <c r="G298" s="153"/>
      <c r="H298" s="191"/>
      <c r="I298" s="191"/>
      <c r="J298" s="191"/>
      <c r="K298" s="191"/>
      <c r="L298" s="191"/>
      <c r="M298" s="191"/>
      <c r="N298" s="191"/>
      <c r="O298" s="191"/>
      <c r="P298" s="191"/>
      <c r="Q298" s="191"/>
      <c r="R298" s="191"/>
      <c r="S298" s="191"/>
      <c r="T298" s="191"/>
    </row>
    <row r="299" spans="1:20" ht="22.5" customHeight="1">
      <c r="A299" s="153"/>
      <c r="B299" s="153"/>
      <c r="C299" s="153"/>
      <c r="D299" s="153"/>
      <c r="E299" s="154"/>
      <c r="F299" s="394" t="s">
        <v>446</v>
      </c>
      <c r="G299" s="395"/>
      <c r="H299" s="199"/>
      <c r="I299" s="191"/>
      <c r="J299" s="191"/>
      <c r="K299" s="191"/>
      <c r="L299" s="191"/>
      <c r="M299" s="191"/>
      <c r="N299" s="191"/>
      <c r="O299" s="191"/>
      <c r="P299" s="191"/>
      <c r="Q299" s="191"/>
      <c r="R299" s="191"/>
      <c r="S299" s="191"/>
      <c r="T299" s="191"/>
    </row>
    <row r="300" spans="1:20" ht="18" customHeight="1" thickBot="1">
      <c r="A300" s="359" t="s">
        <v>547</v>
      </c>
      <c r="B300" s="359"/>
      <c r="C300" s="155" t="str">
        <f>IF(C6="","-",C6)</f>
        <v>-</v>
      </c>
      <c r="D300" s="74"/>
      <c r="E300" s="154"/>
      <c r="F300" s="413"/>
      <c r="G300" s="396"/>
      <c r="H300" s="191"/>
      <c r="I300" s="191"/>
      <c r="J300" s="191"/>
      <c r="K300" s="191"/>
      <c r="L300" s="191"/>
      <c r="M300" s="191"/>
      <c r="N300" s="191"/>
      <c r="O300" s="191"/>
      <c r="P300" s="191"/>
      <c r="Q300" s="191"/>
      <c r="R300" s="191"/>
      <c r="S300" s="191"/>
      <c r="T300" s="191"/>
    </row>
    <row r="301" spans="1:20" ht="18" customHeight="1" thickTop="1" thickBot="1">
      <c r="A301" s="359" t="s">
        <v>548</v>
      </c>
      <c r="B301" s="359"/>
      <c r="C301" s="156" t="str">
        <f>IF(C7="","-",C7)</f>
        <v>-</v>
      </c>
      <c r="D301" s="74"/>
      <c r="E301" s="157"/>
      <c r="F301" s="413"/>
      <c r="G301" s="396"/>
      <c r="H301" s="191"/>
      <c r="I301" s="191"/>
      <c r="J301" s="191"/>
      <c r="K301" s="191"/>
      <c r="L301" s="191"/>
      <c r="M301" s="191"/>
      <c r="N301" s="191"/>
      <c r="O301" s="191"/>
      <c r="P301" s="191"/>
      <c r="Q301" s="191"/>
      <c r="R301" s="191"/>
      <c r="S301" s="191"/>
      <c r="T301" s="191"/>
    </row>
    <row r="302" spans="1:20" ht="18" customHeight="1" thickTop="1" thickBot="1">
      <c r="A302" s="359" t="s">
        <v>549</v>
      </c>
      <c r="B302" s="359"/>
      <c r="C302" s="158" t="str">
        <f>IF(C19="","-",C19)</f>
        <v>-</v>
      </c>
      <c r="D302" s="74"/>
      <c r="E302" s="157"/>
      <c r="F302" s="413"/>
      <c r="G302" s="396"/>
      <c r="H302" s="191"/>
      <c r="I302" s="191"/>
      <c r="J302" s="191"/>
      <c r="K302" s="191"/>
      <c r="L302" s="191"/>
      <c r="M302" s="191"/>
      <c r="N302" s="191"/>
      <c r="O302" s="191"/>
      <c r="P302" s="191"/>
      <c r="Q302" s="191"/>
      <c r="R302" s="191"/>
      <c r="S302" s="191"/>
      <c r="T302" s="191"/>
    </row>
    <row r="303" spans="1:20" ht="18" customHeight="1" thickTop="1" thickBot="1">
      <c r="A303" s="359" t="s">
        <v>10</v>
      </c>
      <c r="B303" s="359"/>
      <c r="C303" s="155" t="str">
        <f>IF(C20="","-",C20)</f>
        <v>-</v>
      </c>
      <c r="D303" s="74"/>
      <c r="E303" s="157"/>
      <c r="F303" s="413"/>
      <c r="G303" s="396"/>
      <c r="H303" s="199"/>
      <c r="I303" s="191"/>
      <c r="J303" s="191"/>
      <c r="K303" s="191"/>
      <c r="L303" s="191"/>
      <c r="M303" s="191"/>
      <c r="N303" s="191"/>
      <c r="O303" s="191"/>
      <c r="P303" s="191"/>
      <c r="Q303" s="191"/>
      <c r="R303" s="191"/>
      <c r="S303" s="191"/>
      <c r="T303" s="191"/>
    </row>
    <row r="304" spans="1:20" ht="18" customHeight="1" thickTop="1" thickBot="1">
      <c r="A304" s="359" t="s">
        <v>11</v>
      </c>
      <c r="B304" s="359"/>
      <c r="C304" s="158" t="str">
        <f>IF(C21="","-",C21)</f>
        <v>-</v>
      </c>
      <c r="D304" s="74"/>
      <c r="E304" s="157"/>
      <c r="F304" s="413"/>
      <c r="G304" s="396"/>
      <c r="H304" s="191"/>
      <c r="I304" s="191"/>
      <c r="J304" s="191"/>
      <c r="K304" s="191"/>
      <c r="L304" s="191"/>
      <c r="M304" s="191"/>
      <c r="N304" s="191"/>
      <c r="O304" s="191"/>
      <c r="P304" s="191"/>
      <c r="Q304" s="191"/>
      <c r="R304" s="191"/>
      <c r="S304" s="191"/>
      <c r="T304" s="191"/>
    </row>
    <row r="305" spans="1:20" ht="18" customHeight="1" thickTop="1" thickBot="1">
      <c r="A305" s="359" t="s">
        <v>552</v>
      </c>
      <c r="B305" s="359"/>
      <c r="C305" s="155" t="str">
        <f>IF(C22="","-",C22)</f>
        <v>-</v>
      </c>
      <c r="D305" s="74"/>
      <c r="E305" s="157"/>
      <c r="F305" s="413"/>
      <c r="G305" s="396"/>
      <c r="H305" s="191"/>
      <c r="I305" s="191"/>
      <c r="J305" s="191"/>
      <c r="K305" s="191"/>
      <c r="L305" s="191"/>
      <c r="M305" s="191"/>
      <c r="N305" s="191"/>
      <c r="O305" s="191"/>
      <c r="P305" s="191"/>
      <c r="Q305" s="191"/>
      <c r="R305" s="191"/>
      <c r="S305" s="191"/>
      <c r="T305" s="191"/>
    </row>
    <row r="306" spans="1:20" ht="18" customHeight="1" thickTop="1">
      <c r="A306" s="359" t="s">
        <v>553</v>
      </c>
      <c r="B306" s="359"/>
      <c r="C306" s="156" t="str">
        <f>IF(C23="","-",C23)</f>
        <v>-</v>
      </c>
      <c r="D306" s="74"/>
      <c r="E306" s="157"/>
      <c r="F306" s="413"/>
      <c r="G306" s="396"/>
      <c r="H306" s="191"/>
      <c r="I306" s="191"/>
      <c r="J306" s="191"/>
      <c r="K306" s="191"/>
      <c r="L306" s="191"/>
      <c r="M306" s="191"/>
      <c r="N306" s="191"/>
      <c r="O306" s="191"/>
      <c r="P306" s="191"/>
      <c r="Q306" s="191"/>
      <c r="R306" s="191"/>
      <c r="S306" s="191"/>
      <c r="T306" s="191"/>
    </row>
    <row r="307" spans="1:20" ht="18" customHeight="1">
      <c r="A307" s="159"/>
      <c r="B307" s="159"/>
      <c r="C307" s="61"/>
      <c r="D307" s="74"/>
      <c r="E307" s="157"/>
      <c r="F307" s="160"/>
      <c r="G307" s="160"/>
      <c r="H307" s="191"/>
      <c r="I307" s="191"/>
      <c r="J307" s="191"/>
      <c r="K307" s="191"/>
      <c r="L307" s="191"/>
      <c r="M307" s="191"/>
      <c r="N307" s="191"/>
      <c r="O307" s="191"/>
      <c r="P307" s="191"/>
      <c r="Q307" s="191"/>
      <c r="R307" s="191"/>
      <c r="S307" s="191"/>
      <c r="T307" s="191"/>
    </row>
    <row r="308" spans="1:20" ht="24.95" customHeight="1">
      <c r="A308" s="161" t="s">
        <v>561</v>
      </c>
      <c r="B308" s="161"/>
      <c r="C308" s="61"/>
      <c r="D308" s="74"/>
      <c r="E308" s="157"/>
      <c r="F308" s="160"/>
      <c r="G308" s="160"/>
      <c r="H308" s="191"/>
      <c r="I308" s="191"/>
      <c r="J308" s="191"/>
      <c r="K308" s="191"/>
      <c r="L308" s="191"/>
      <c r="M308" s="191"/>
      <c r="N308" s="191"/>
      <c r="O308" s="191"/>
      <c r="P308" s="191"/>
      <c r="Q308" s="191"/>
      <c r="R308" s="191"/>
      <c r="S308" s="191"/>
      <c r="T308" s="191"/>
    </row>
    <row r="309" spans="1:20" ht="14.25" customHeight="1">
      <c r="A309" s="61"/>
      <c r="B309" s="100"/>
      <c r="C309" s="100"/>
      <c r="D309" s="162"/>
      <c r="E309" s="157"/>
      <c r="F309" s="160"/>
      <c r="G309" s="160"/>
      <c r="H309" s="191"/>
      <c r="I309" s="191"/>
      <c r="J309" s="191"/>
      <c r="K309" s="191"/>
      <c r="L309" s="191"/>
      <c r="M309" s="191"/>
      <c r="N309" s="191"/>
      <c r="O309" s="191"/>
      <c r="P309" s="191"/>
      <c r="Q309" s="191"/>
      <c r="R309" s="191"/>
      <c r="S309" s="191"/>
      <c r="T309" s="191"/>
    </row>
    <row r="310" spans="1:20" ht="18" customHeight="1" thickBot="1">
      <c r="A310" s="359" t="s">
        <v>595</v>
      </c>
      <c r="B310" s="359"/>
      <c r="C310" s="155" t="str">
        <f>IF(C44="","-",C44)</f>
        <v>-</v>
      </c>
      <c r="D310" s="74"/>
      <c r="E310" s="163"/>
      <c r="F310" s="396"/>
      <c r="G310" s="396"/>
      <c r="H310" s="191"/>
      <c r="I310" s="191"/>
      <c r="J310" s="191"/>
      <c r="K310" s="191"/>
      <c r="L310" s="191"/>
      <c r="M310" s="191"/>
      <c r="N310" s="191"/>
      <c r="O310" s="191"/>
      <c r="P310" s="191"/>
      <c r="Q310" s="191"/>
      <c r="R310" s="191"/>
      <c r="S310" s="191"/>
      <c r="T310" s="191"/>
    </row>
    <row r="311" spans="1:20" ht="18" customHeight="1" thickTop="1" thickBot="1">
      <c r="A311" s="359" t="s">
        <v>550</v>
      </c>
      <c r="B311" s="359"/>
      <c r="C311" s="164" t="str">
        <f>C89</f>
        <v>-</v>
      </c>
      <c r="D311" s="74"/>
      <c r="E311" s="163"/>
      <c r="F311" s="396"/>
      <c r="G311" s="396"/>
      <c r="H311" s="191"/>
      <c r="I311" s="191"/>
      <c r="J311" s="191"/>
      <c r="K311" s="191"/>
      <c r="L311" s="191"/>
      <c r="M311" s="191"/>
      <c r="N311" s="191"/>
      <c r="O311" s="191"/>
      <c r="P311" s="191"/>
      <c r="Q311" s="191"/>
      <c r="R311" s="191"/>
      <c r="S311" s="191"/>
      <c r="T311" s="191"/>
    </row>
    <row r="312" spans="1:20" ht="18" customHeight="1" thickTop="1" thickBot="1">
      <c r="A312" s="359" t="s">
        <v>551</v>
      </c>
      <c r="B312" s="359"/>
      <c r="C312" s="165" t="str">
        <f>IF(D103="","-",D103)</f>
        <v>-</v>
      </c>
      <c r="D312" s="392" t="str">
        <f>IF(E102="Le choix de classe de pente diffère de ce qui a été calculé",E102,"")</f>
        <v/>
      </c>
      <c r="E312" s="393"/>
      <c r="F312" s="396"/>
      <c r="G312" s="396"/>
      <c r="H312" s="191"/>
      <c r="I312" s="191"/>
      <c r="J312" s="199"/>
      <c r="K312" s="191"/>
      <c r="L312" s="191"/>
      <c r="M312" s="191"/>
      <c r="N312" s="191"/>
      <c r="O312" s="191"/>
      <c r="P312" s="191"/>
      <c r="Q312" s="191"/>
      <c r="R312" s="191"/>
      <c r="S312" s="191"/>
      <c r="T312" s="191"/>
    </row>
    <row r="313" spans="1:20" ht="19.5" thickTop="1">
      <c r="A313" s="359" t="s">
        <v>563</v>
      </c>
      <c r="B313" s="359"/>
      <c r="C313" s="168" t="str">
        <f>D141</f>
        <v>-</v>
      </c>
      <c r="D313" s="392" t="str">
        <f>IF(ISTEXT(E138),E138,"")</f>
        <v>La superficie du bassin versant doit être saisie à la section 1.</v>
      </c>
      <c r="E313" s="393"/>
      <c r="F313" s="396"/>
      <c r="G313" s="396"/>
      <c r="H313" s="191"/>
      <c r="I313" s="191"/>
      <c r="J313" s="191"/>
      <c r="K313" s="191"/>
      <c r="L313" s="191"/>
      <c r="M313" s="191"/>
      <c r="N313" s="191"/>
      <c r="O313" s="191"/>
      <c r="P313" s="191"/>
      <c r="Q313" s="191"/>
      <c r="R313" s="191"/>
      <c r="S313" s="191"/>
      <c r="T313" s="191"/>
    </row>
    <row r="314" spans="1:20" ht="15.75">
      <c r="A314" s="166"/>
      <c r="B314" s="166"/>
      <c r="C314" s="61"/>
      <c r="D314" s="74"/>
      <c r="E314" s="163"/>
      <c r="F314" s="167"/>
      <c r="G314" s="167"/>
      <c r="H314" s="191"/>
      <c r="I314" s="191"/>
      <c r="J314" s="191"/>
      <c r="K314" s="191"/>
      <c r="L314" s="191"/>
      <c r="M314" s="191"/>
      <c r="N314" s="191"/>
      <c r="O314" s="191"/>
      <c r="P314" s="191"/>
      <c r="Q314" s="191"/>
      <c r="R314" s="191"/>
      <c r="S314" s="191"/>
      <c r="T314" s="191"/>
    </row>
    <row r="315" spans="1:20" ht="19.5" thickBot="1">
      <c r="A315" s="359" t="s">
        <v>593</v>
      </c>
      <c r="B315" s="359"/>
      <c r="C315" s="155" t="str">
        <f>IF(E150="","-",E150)</f>
        <v>-</v>
      </c>
      <c r="D315" s="74"/>
      <c r="E315" s="163"/>
      <c r="F315" s="396"/>
      <c r="G315" s="396"/>
      <c r="H315" s="191"/>
      <c r="I315" s="191"/>
      <c r="J315" s="191"/>
      <c r="K315" s="191"/>
      <c r="L315" s="191"/>
      <c r="M315" s="191"/>
      <c r="N315" s="191"/>
      <c r="O315" s="191"/>
      <c r="P315" s="191"/>
      <c r="Q315" s="191"/>
      <c r="R315" s="191"/>
      <c r="S315" s="191"/>
      <c r="T315" s="191"/>
    </row>
    <row r="316" spans="1:20" ht="20.25" thickTop="1" thickBot="1">
      <c r="A316" s="359" t="s">
        <v>594</v>
      </c>
      <c r="B316" s="359"/>
      <c r="C316" s="168" t="str">
        <f>E156</f>
        <v>-</v>
      </c>
      <c r="D316" s="74"/>
      <c r="E316" s="163"/>
      <c r="F316" s="396"/>
      <c r="G316" s="396"/>
      <c r="H316" s="206"/>
    </row>
    <row r="317" spans="1:20" ht="20.25" thickTop="1" thickBot="1">
      <c r="A317" s="359" t="s">
        <v>596</v>
      </c>
      <c r="B317" s="359"/>
      <c r="C317" s="168" t="str">
        <f>IF(C173="","-",C173)</f>
        <v>-</v>
      </c>
      <c r="D317" s="74"/>
      <c r="E317" s="163"/>
      <c r="F317" s="396"/>
      <c r="G317" s="396"/>
      <c r="H317" s="206"/>
    </row>
    <row r="318" spans="1:20" ht="17.25" thickTop="1" thickBot="1">
      <c r="A318" s="359" t="s">
        <v>554</v>
      </c>
      <c r="B318" s="359"/>
      <c r="C318" s="158" t="str">
        <f>IF(E246="","-",IF(E246="I25,60","I25,60","Courbes IDF"))</f>
        <v>-</v>
      </c>
      <c r="D318" s="347" t="str" cm="1">
        <f t="array" ref="D318">IF(AND(C318="I25,60",D228&lt;&gt;"Station personnalisée"),"Donnée : "&amp;D228,IF(OR(AND(C318="I25,60",D228="Station personnalisée"),AND(C318="Courbes IDF",$C$202&lt;&gt;"",E246="Station personnalisée")),"Station : "&amp;C202&amp; "  (personnalisée)",IF(AND(C318="Courbes IDF",E246&lt;&gt;"-----------------",E246&lt;&gt;"Station personnalisée"),"Station : "&amp;E246&amp;" ("&amp;INDEX(C192:G192,stat_select)&amp;")","-")))</f>
        <v>-</v>
      </c>
      <c r="E318" s="348"/>
      <c r="F318" s="396"/>
      <c r="G318" s="396"/>
    </row>
    <row r="319" spans="1:20" ht="16.5" thickTop="1">
      <c r="A319" s="359" t="s">
        <v>555</v>
      </c>
      <c r="B319" s="359"/>
      <c r="C319" s="156" t="str">
        <f>IF($E$247="","-",$E$247)</f>
        <v>-</v>
      </c>
      <c r="D319" s="117"/>
      <c r="E319" s="169"/>
      <c r="F319" s="396"/>
      <c r="G319" s="396"/>
    </row>
    <row r="320" spans="1:20" ht="15.75">
      <c r="A320" s="159"/>
      <c r="B320" s="159"/>
      <c r="C320" s="61"/>
      <c r="D320" s="117"/>
      <c r="E320" s="169"/>
      <c r="F320" s="167"/>
      <c r="G320" s="167"/>
    </row>
    <row r="321" spans="1:7" ht="16.5" thickBot="1">
      <c r="A321" s="359" t="s">
        <v>557</v>
      </c>
      <c r="B321" s="359"/>
      <c r="C321" s="155" t="str">
        <f>IF(C268="","-",C268)</f>
        <v>-</v>
      </c>
      <c r="D321" s="74"/>
      <c r="E321" s="163"/>
      <c r="F321" s="396"/>
      <c r="G321" s="396"/>
    </row>
    <row r="322" spans="1:7" ht="17.25" thickTop="1" thickBot="1">
      <c r="A322" s="359" t="s">
        <v>558</v>
      </c>
      <c r="B322" s="359"/>
      <c r="C322" s="170" t="str">
        <f>C271</f>
        <v>-</v>
      </c>
      <c r="D322" s="74"/>
      <c r="E322" s="163"/>
      <c r="F322" s="396"/>
      <c r="G322" s="396"/>
    </row>
    <row r="323" spans="1:7" ht="19.5" thickTop="1">
      <c r="A323" s="391" t="s">
        <v>559</v>
      </c>
      <c r="B323" s="359"/>
      <c r="C323" s="168" t="str">
        <f>C272</f>
        <v>-</v>
      </c>
      <c r="D323" s="74"/>
      <c r="E323" s="163"/>
      <c r="F323" s="396"/>
      <c r="G323" s="396"/>
    </row>
    <row r="324" spans="1:7" ht="15.75">
      <c r="A324" s="74"/>
      <c r="B324" s="74"/>
      <c r="C324" s="171"/>
      <c r="D324" s="74"/>
      <c r="E324" s="163"/>
      <c r="F324" s="167"/>
      <c r="G324" s="167"/>
    </row>
    <row r="325" spans="1:7" ht="15" customHeight="1">
      <c r="A325" s="390" t="s">
        <v>560</v>
      </c>
      <c r="B325" s="390"/>
      <c r="C325" s="155" t="str">
        <f>IF(D284="","-",D284)</f>
        <v>-</v>
      </c>
      <c r="D325" s="74"/>
      <c r="E325" s="163"/>
      <c r="F325" s="414"/>
      <c r="G325" s="414"/>
    </row>
    <row r="326" spans="1:7" ht="13.5" customHeight="1">
      <c r="A326" s="172"/>
      <c r="B326" s="172"/>
      <c r="C326" s="148"/>
      <c r="D326" s="74"/>
      <c r="E326" s="74"/>
      <c r="F326" s="167"/>
      <c r="G326" s="167"/>
    </row>
    <row r="327" spans="1:7" ht="24.95" customHeight="1">
      <c r="A327" s="412" t="s">
        <v>562</v>
      </c>
      <c r="B327" s="412"/>
      <c r="C327" s="148"/>
      <c r="D327" s="74"/>
      <c r="E327" s="74"/>
      <c r="F327" s="167"/>
      <c r="G327" s="167"/>
    </row>
    <row r="328" spans="1:7" ht="13.5" customHeight="1">
      <c r="A328" s="86"/>
      <c r="B328" s="86"/>
      <c r="C328" s="148"/>
      <c r="D328" s="74"/>
      <c r="E328" s="74"/>
      <c r="F328" s="167"/>
      <c r="G328" s="167"/>
    </row>
    <row r="329" spans="1:7" ht="13.5" customHeight="1">
      <c r="A329" s="66" t="s">
        <v>597</v>
      </c>
      <c r="B329" s="86"/>
      <c r="C329" s="148"/>
      <c r="D329" s="74"/>
      <c r="E329" s="74"/>
      <c r="F329" s="167"/>
      <c r="G329" s="167"/>
    </row>
    <row r="330" spans="1:7" ht="13.5" customHeight="1">
      <c r="A330" s="173"/>
      <c r="B330" s="173"/>
      <c r="C330" s="174"/>
      <c r="D330" s="175"/>
      <c r="E330" s="74"/>
      <c r="F330" s="167"/>
      <c r="G330" s="167"/>
    </row>
    <row r="331" spans="1:7" ht="36" customHeight="1">
      <c r="A331" s="336" t="s">
        <v>556</v>
      </c>
      <c r="B331" s="336"/>
      <c r="C331" s="127" t="s">
        <v>525</v>
      </c>
      <c r="D331" s="176" t="s">
        <v>526</v>
      </c>
      <c r="E331" s="74"/>
      <c r="F331" s="367"/>
      <c r="G331" s="368"/>
    </row>
    <row r="332" spans="1:7" ht="15.75">
      <c r="A332" s="386">
        <v>2</v>
      </c>
      <c r="B332" s="386"/>
      <c r="C332" s="229" t="str">
        <f t="shared" ref="C332:D338" si="7">C289</f>
        <v>-</v>
      </c>
      <c r="D332" s="177" t="str">
        <f t="shared" si="7"/>
        <v>-</v>
      </c>
      <c r="E332" s="74"/>
      <c r="F332" s="367"/>
      <c r="G332" s="368"/>
    </row>
    <row r="333" spans="1:7" ht="15.75">
      <c r="A333" s="386">
        <v>5</v>
      </c>
      <c r="B333" s="386"/>
      <c r="C333" s="229" t="str">
        <f t="shared" si="7"/>
        <v>-</v>
      </c>
      <c r="D333" s="177" t="str">
        <f t="shared" si="7"/>
        <v>-</v>
      </c>
      <c r="E333" s="74"/>
      <c r="F333" s="367"/>
      <c r="G333" s="368"/>
    </row>
    <row r="334" spans="1:7" ht="15.75">
      <c r="A334" s="369">
        <v>10</v>
      </c>
      <c r="B334" s="369"/>
      <c r="C334" s="230" t="str">
        <f t="shared" si="7"/>
        <v>-</v>
      </c>
      <c r="D334" s="178" t="str">
        <f t="shared" si="7"/>
        <v>-</v>
      </c>
      <c r="E334" s="74"/>
      <c r="F334" s="367"/>
      <c r="G334" s="368"/>
    </row>
    <row r="335" spans="1:7" ht="15.75">
      <c r="A335" s="370">
        <v>20</v>
      </c>
      <c r="B335" s="370"/>
      <c r="C335" s="231" t="str">
        <f t="shared" si="7"/>
        <v>-</v>
      </c>
      <c r="D335" s="179" t="str">
        <f t="shared" si="7"/>
        <v>-</v>
      </c>
      <c r="E335" s="74"/>
      <c r="F335" s="367"/>
      <c r="G335" s="368"/>
    </row>
    <row r="336" spans="1:7" ht="15.75">
      <c r="A336" s="370">
        <v>25</v>
      </c>
      <c r="B336" s="370"/>
      <c r="C336" s="231" t="str">
        <f t="shared" si="7"/>
        <v>-</v>
      </c>
      <c r="D336" s="179" t="str">
        <f t="shared" si="7"/>
        <v>-</v>
      </c>
      <c r="E336" s="74"/>
      <c r="F336" s="367"/>
      <c r="G336" s="368"/>
    </row>
    <row r="337" spans="1:7" ht="15.75">
      <c r="A337" s="370">
        <v>50</v>
      </c>
      <c r="B337" s="370"/>
      <c r="C337" s="231" t="str">
        <f t="shared" si="7"/>
        <v>-</v>
      </c>
      <c r="D337" s="179" t="str">
        <f t="shared" si="7"/>
        <v>-</v>
      </c>
      <c r="E337" s="74"/>
      <c r="F337" s="367"/>
      <c r="G337" s="368"/>
    </row>
    <row r="338" spans="1:7" ht="15.75">
      <c r="A338" s="386">
        <v>100</v>
      </c>
      <c r="B338" s="386"/>
      <c r="C338" s="229" t="str">
        <f t="shared" si="7"/>
        <v>-</v>
      </c>
      <c r="D338" s="177" t="str">
        <f t="shared" si="7"/>
        <v>-</v>
      </c>
      <c r="E338" s="74"/>
      <c r="F338" s="367"/>
      <c r="G338" s="368"/>
    </row>
    <row r="339" spans="1:7">
      <c r="A339" s="180"/>
      <c r="B339" s="180"/>
      <c r="C339" s="181"/>
      <c r="D339" s="182"/>
      <c r="E339" s="76"/>
      <c r="F339" s="67"/>
      <c r="G339" s="76"/>
    </row>
  </sheetData>
  <sheetProtection algorithmName="SHA-512" hashValue="eXWTDD0EeabTC45mgqVqDpSPPkLmwV5Ce+jTy7nBZye8q6MKxE/YxyAwtjhl0amKV0Y465021KUhND0xTjcalg==" saltValue="Rwi2RfshYp96E1AHbG00+w==" spinCount="100000" sheet="1" objects="1" scenarios="1"/>
  <mergeCells count="241">
    <mergeCell ref="A1:H1"/>
    <mergeCell ref="I1:N1"/>
    <mergeCell ref="A8:B8"/>
    <mergeCell ref="A10:B10"/>
    <mergeCell ref="W3:W40"/>
    <mergeCell ref="W42:W94"/>
    <mergeCell ref="W96:W145"/>
    <mergeCell ref="W147:W187"/>
    <mergeCell ref="H188:N188"/>
    <mergeCell ref="C8:D8"/>
    <mergeCell ref="H2:N2"/>
    <mergeCell ref="A2:G2"/>
    <mergeCell ref="C170:D171"/>
    <mergeCell ref="A111:B113"/>
    <mergeCell ref="A88:B88"/>
    <mergeCell ref="A89:B89"/>
    <mergeCell ref="A108:B110"/>
    <mergeCell ref="F172:G173"/>
    <mergeCell ref="E138:F138"/>
    <mergeCell ref="A138:C138"/>
    <mergeCell ref="A91:G91"/>
    <mergeCell ref="C99:F99"/>
    <mergeCell ref="C100:F100"/>
    <mergeCell ref="A127:B127"/>
    <mergeCell ref="D42:E45"/>
    <mergeCell ref="W189:W232"/>
    <mergeCell ref="H189:N190"/>
    <mergeCell ref="A11:B11"/>
    <mergeCell ref="A17:G17"/>
    <mergeCell ref="C19:D19"/>
    <mergeCell ref="C20:D20"/>
    <mergeCell ref="C21:D21"/>
    <mergeCell ref="C22:D22"/>
    <mergeCell ref="D65:E65"/>
    <mergeCell ref="B65:C65"/>
    <mergeCell ref="B48:C48"/>
    <mergeCell ref="B47:C47"/>
    <mergeCell ref="B31:F31"/>
    <mergeCell ref="A217:B217"/>
    <mergeCell ref="A218:B218"/>
    <mergeCell ref="H41:N41"/>
    <mergeCell ref="H95:N95"/>
    <mergeCell ref="H146:N146"/>
    <mergeCell ref="A171:B171"/>
    <mergeCell ref="C165:D165"/>
    <mergeCell ref="C166:D167"/>
    <mergeCell ref="C168:D169"/>
    <mergeCell ref="B96:E96"/>
    <mergeCell ref="A327:B327"/>
    <mergeCell ref="F300:G306"/>
    <mergeCell ref="F321:G323"/>
    <mergeCell ref="F325:G325"/>
    <mergeCell ref="F315:G319"/>
    <mergeCell ref="E102:E103"/>
    <mergeCell ref="B29:F29"/>
    <mergeCell ref="F6:G6"/>
    <mergeCell ref="A41:F41"/>
    <mergeCell ref="A52:F52"/>
    <mergeCell ref="A39:G39"/>
    <mergeCell ref="A65:A66"/>
    <mergeCell ref="C7:D7"/>
    <mergeCell ref="A12:B12"/>
    <mergeCell ref="A6:B6"/>
    <mergeCell ref="C6:D6"/>
    <mergeCell ref="C88:E88"/>
    <mergeCell ref="F88:G89"/>
    <mergeCell ref="E168:E169"/>
    <mergeCell ref="E170:E171"/>
    <mergeCell ref="C172:E172"/>
    <mergeCell ref="C173:E173"/>
    <mergeCell ref="A170:B170"/>
    <mergeCell ref="A222:G222"/>
    <mergeCell ref="A302:B302"/>
    <mergeCell ref="D238:F238"/>
    <mergeCell ref="A251:B253"/>
    <mergeCell ref="F251:G253"/>
    <mergeCell ref="A303:B303"/>
    <mergeCell ref="A304:B304"/>
    <mergeCell ref="D240:F240"/>
    <mergeCell ref="F260:G260"/>
    <mergeCell ref="A260:B260"/>
    <mergeCell ref="A259:B259"/>
    <mergeCell ref="F258:G258"/>
    <mergeCell ref="A250:G250"/>
    <mergeCell ref="F257:G257"/>
    <mergeCell ref="D268:F268"/>
    <mergeCell ref="A269:B269"/>
    <mergeCell ref="A270:B270"/>
    <mergeCell ref="A255:B255"/>
    <mergeCell ref="A256:B256"/>
    <mergeCell ref="A257:B257"/>
    <mergeCell ref="F246:G247"/>
    <mergeCell ref="F256:G256"/>
    <mergeCell ref="A332:B332"/>
    <mergeCell ref="A333:B333"/>
    <mergeCell ref="C23:D23"/>
    <mergeCell ref="A136:B136"/>
    <mergeCell ref="A137:B137"/>
    <mergeCell ref="A319:B319"/>
    <mergeCell ref="A172:B173"/>
    <mergeCell ref="A203:B203"/>
    <mergeCell ref="A313:B313"/>
    <mergeCell ref="A297:G297"/>
    <mergeCell ref="E22:F23"/>
    <mergeCell ref="C89:E89"/>
    <mergeCell ref="A56:G57"/>
    <mergeCell ref="A102:C102"/>
    <mergeCell ref="A103:C103"/>
    <mergeCell ref="A321:B321"/>
    <mergeCell ref="A322:B322"/>
    <mergeCell ref="A132:B132"/>
    <mergeCell ref="A133:B133"/>
    <mergeCell ref="A271:B271"/>
    <mergeCell ref="A212:B212"/>
    <mergeCell ref="A213:B213"/>
    <mergeCell ref="A214:B214"/>
    <mergeCell ref="A128:B128"/>
    <mergeCell ref="A338:B338"/>
    <mergeCell ref="A263:F263"/>
    <mergeCell ref="A275:F275"/>
    <mergeCell ref="A289:B289"/>
    <mergeCell ref="A290:B290"/>
    <mergeCell ref="A291:B291"/>
    <mergeCell ref="A292:B292"/>
    <mergeCell ref="B284:C284"/>
    <mergeCell ref="A288:B288"/>
    <mergeCell ref="A311:B311"/>
    <mergeCell ref="A312:B312"/>
    <mergeCell ref="A325:B325"/>
    <mergeCell ref="A323:B323"/>
    <mergeCell ref="A272:B272"/>
    <mergeCell ref="A293:B293"/>
    <mergeCell ref="A294:B294"/>
    <mergeCell ref="A295:B295"/>
    <mergeCell ref="A315:B315"/>
    <mergeCell ref="D312:E312"/>
    <mergeCell ref="F299:G299"/>
    <mergeCell ref="D313:E313"/>
    <mergeCell ref="A306:B306"/>
    <mergeCell ref="A305:B305"/>
    <mergeCell ref="F310:G313"/>
    <mergeCell ref="F331:G338"/>
    <mergeCell ref="A193:B193"/>
    <mergeCell ref="A334:B334"/>
    <mergeCell ref="A335:B335"/>
    <mergeCell ref="A336:B336"/>
    <mergeCell ref="A337:B337"/>
    <mergeCell ref="A258:B258"/>
    <mergeCell ref="A254:B254"/>
    <mergeCell ref="C49:F49"/>
    <mergeCell ref="C150:D150"/>
    <mergeCell ref="E166:E167"/>
    <mergeCell ref="A317:B317"/>
    <mergeCell ref="A316:B316"/>
    <mergeCell ref="A318:B318"/>
    <mergeCell ref="A268:B268"/>
    <mergeCell ref="A195:B195"/>
    <mergeCell ref="A196:B196"/>
    <mergeCell ref="F259:G259"/>
    <mergeCell ref="A107:B107"/>
    <mergeCell ref="A122:C122"/>
    <mergeCell ref="A114:B116"/>
    <mergeCell ref="A117:B119"/>
    <mergeCell ref="A120:C120"/>
    <mergeCell ref="A121:C121"/>
    <mergeCell ref="A331:B331"/>
    <mergeCell ref="F122:F123"/>
    <mergeCell ref="A142:G142"/>
    <mergeCell ref="A144:F144"/>
    <mergeCell ref="B153:D153"/>
    <mergeCell ref="B154:D154"/>
    <mergeCell ref="B156:D156"/>
    <mergeCell ref="A169:B169"/>
    <mergeCell ref="A202:B202"/>
    <mergeCell ref="C208:G208"/>
    <mergeCell ref="A140:C140"/>
    <mergeCell ref="A191:B191"/>
    <mergeCell ref="C202:D202"/>
    <mergeCell ref="A192:B192"/>
    <mergeCell ref="A194:B194"/>
    <mergeCell ref="A198:B198"/>
    <mergeCell ref="C207:G207"/>
    <mergeCell ref="F156:G156"/>
    <mergeCell ref="B151:D151"/>
    <mergeCell ref="B152:D152"/>
    <mergeCell ref="A165:B165"/>
    <mergeCell ref="C203:D203"/>
    <mergeCell ref="F170:G171"/>
    <mergeCell ref="A179:G179"/>
    <mergeCell ref="A4:G4"/>
    <mergeCell ref="D318:E318"/>
    <mergeCell ref="A7:B7"/>
    <mergeCell ref="A20:B20"/>
    <mergeCell ref="A19:B19"/>
    <mergeCell ref="A21:B21"/>
    <mergeCell ref="A22:B22"/>
    <mergeCell ref="A23:B23"/>
    <mergeCell ref="A134:B134"/>
    <mergeCell ref="A135:B135"/>
    <mergeCell ref="C9:D9"/>
    <mergeCell ref="C10:D10"/>
    <mergeCell ref="C11:D11"/>
    <mergeCell ref="C12:D12"/>
    <mergeCell ref="A9:B9"/>
    <mergeCell ref="A190:B190"/>
    <mergeCell ref="A141:C141"/>
    <mergeCell ref="A167:B167"/>
    <mergeCell ref="C50:F50"/>
    <mergeCell ref="F242:G242"/>
    <mergeCell ref="A310:B310"/>
    <mergeCell ref="A261:G261"/>
    <mergeCell ref="A300:B300"/>
    <mergeCell ref="A301:B301"/>
    <mergeCell ref="F254:G254"/>
    <mergeCell ref="F255:G255"/>
    <mergeCell ref="A197:B197"/>
    <mergeCell ref="C209:G209"/>
    <mergeCell ref="C210:D210"/>
    <mergeCell ref="A215:B215"/>
    <mergeCell ref="A216:B216"/>
    <mergeCell ref="E210:G210"/>
    <mergeCell ref="E122:E123"/>
    <mergeCell ref="A129:B129"/>
    <mergeCell ref="A130:B130"/>
    <mergeCell ref="A131:B131"/>
    <mergeCell ref="D122:D123"/>
    <mergeCell ref="A125:B125"/>
    <mergeCell ref="A126:B126"/>
    <mergeCell ref="G124:G137"/>
    <mergeCell ref="A123:B123"/>
    <mergeCell ref="A124:B124"/>
    <mergeCell ref="A225:G226"/>
    <mergeCell ref="D237:F237"/>
    <mergeCell ref="A185:D185"/>
    <mergeCell ref="A207:B211"/>
    <mergeCell ref="A139:C139"/>
    <mergeCell ref="B97:G97"/>
    <mergeCell ref="B98:E98"/>
    <mergeCell ref="C219:D219"/>
    <mergeCell ref="E219:G219"/>
    <mergeCell ref="E252:E253"/>
  </mergeCells>
  <conditionalFormatting sqref="D268">
    <cfRule type="containsText" dxfId="34" priority="61" stopIfTrue="1" operator="containsText" text="Il faut assigner">
      <formula>NOT(ISERROR(SEARCH("Il faut assigner",D268)))</formula>
    </cfRule>
  </conditionalFormatting>
  <conditionalFormatting sqref="F156">
    <cfRule type="containsText" dxfId="33" priority="60" stopIfTrue="1" operator="containsText" text="Attention">
      <formula>NOT(ISERROR(SEARCH("Attention",F156)))</formula>
    </cfRule>
  </conditionalFormatting>
  <conditionalFormatting sqref="E138">
    <cfRule type="containsText" dxfId="32" priority="17" operator="containsText" text="section 1">
      <formula>NOT(ISERROR(SEARCH("section 1",E138)))</formula>
    </cfRule>
    <cfRule type="containsText" dxfId="31" priority="57" operator="containsText" text="&quot;Attention&quot;">
      <formula>NOT(ISERROR(SEARCH("""Attention""",E138)))</formula>
    </cfRule>
    <cfRule type="containsText" dxfId="30" priority="58" operator="containsText" text="Attention">
      <formula>NOT(ISERROR(SEARCH("Attention",E138)))</formula>
    </cfRule>
  </conditionalFormatting>
  <conditionalFormatting sqref="D313">
    <cfRule type="cellIs" dxfId="29" priority="34" operator="equal">
      <formula>"Aires considérées &lt; Aire du bassin versant"</formula>
    </cfRule>
    <cfRule type="containsText" dxfId="28" priority="56" operator="containsText" text="Attention">
      <formula>NOT(ISERROR(SEARCH("Attention",D313)))</formula>
    </cfRule>
  </conditionalFormatting>
  <conditionalFormatting sqref="E288:F288">
    <cfRule type="containsText" dxfId="27" priority="55" operator="containsText" text="Attention">
      <formula>NOT(ISERROR(SEARCH("Attention",E288)))</formula>
    </cfRule>
  </conditionalFormatting>
  <conditionalFormatting sqref="F170 F172">
    <cfRule type="containsText" dxfId="26" priority="53" operator="containsText" text="Attention">
      <formula>NOT(ISERROR(SEARCH("Attention",F170)))</formula>
    </cfRule>
  </conditionalFormatting>
  <conditionalFormatting sqref="D321">
    <cfRule type="containsText" dxfId="25" priority="52" operator="containsText" text="Il faut">
      <formula>NOT(ISERROR(SEARCH("Il faut",D321)))</formula>
    </cfRule>
  </conditionalFormatting>
  <conditionalFormatting sqref="E102">
    <cfRule type="containsText" dxfId="24" priority="49" operator="containsText" text="choix">
      <formula>NOT(ISERROR(SEARCH("choix",E102)))</formula>
    </cfRule>
  </conditionalFormatting>
  <conditionalFormatting sqref="F170 F172">
    <cfRule type="containsText" dxfId="23" priority="38" operator="containsText" text="Attention">
      <formula>NOT(ISERROR(SEARCH("Attention",F170)))</formula>
    </cfRule>
    <cfRule type="containsText" dxfId="22" priority="48" operator="containsText" text="coefficient">
      <formula>NOT(ISERROR(SEARCH("coefficient",F170)))</formula>
    </cfRule>
  </conditionalFormatting>
  <conditionalFormatting sqref="C190:G190 B166 A170 B168">
    <cfRule type="containsText" dxfId="21" priority="46" operator="containsText" text="✓">
      <formula>NOT(ISERROR(SEARCH("✓",A166)))</formula>
    </cfRule>
  </conditionalFormatting>
  <conditionalFormatting sqref="E138">
    <cfRule type="containsText" dxfId="20" priority="41" operator="containsText" text="&lt;">
      <formula>NOT(ISERROR(SEARCH("&lt;",E138)))</formula>
    </cfRule>
    <cfRule type="containsText" dxfId="19" priority="42" operator="containsText" text="&lt;">
      <formula>NOT(ISERROR(SEARCH("&lt;",E138)))</formula>
    </cfRule>
  </conditionalFormatting>
  <conditionalFormatting sqref="E102 F103:F104">
    <cfRule type="containsText" dxfId="18" priority="40" operator="containsText" text="choisir">
      <formula>NOT(ISERROR(SEARCH("choisir",E102)))</formula>
    </cfRule>
  </conditionalFormatting>
  <conditionalFormatting sqref="D317:E317">
    <cfRule type="containsText" dxfId="17" priority="37" operator="containsText" text="Attention">
      <formula>NOT(ISERROR(SEARCH("Attention",D317)))</formula>
    </cfRule>
  </conditionalFormatting>
  <conditionalFormatting sqref="D312:E312">
    <cfRule type="containsText" dxfId="16" priority="36" operator="containsText" text="Le choix de classe de pente diffère">
      <formula>NOT(ISERROR(SEARCH("Le choix de classe de pente diffère",D312)))</formula>
    </cfRule>
  </conditionalFormatting>
  <conditionalFormatting sqref="E22 C51:D51 C46:D46 D47:D48 C43 D42 C45">
    <cfRule type="containsText" dxfId="15" priority="32" operator="containsText" text="Mise en garde">
      <formula>NOT(ISERROR(SEARCH("Mise en garde",C22)))</formula>
    </cfRule>
  </conditionalFormatting>
  <conditionalFormatting sqref="F88">
    <cfRule type="containsText" dxfId="14" priority="28" operator="containsText" text="Mise en garde">
      <formula>NOT(ISERROR(SEARCH("Mise en garde",F88)))</formula>
    </cfRule>
  </conditionalFormatting>
  <conditionalFormatting sqref="C99:C100">
    <cfRule type="containsText" dxfId="13" priority="27" operator="containsText" text="Mise en garde">
      <formula>NOT(ISERROR(SEARCH("Mise en garde",C99)))</formula>
    </cfRule>
  </conditionalFormatting>
  <conditionalFormatting sqref="C49:C50">
    <cfRule type="containsText" dxfId="12" priority="26" operator="containsText" text="Mise en garde">
      <formula>NOT(ISERROR(SEARCH("Mise en garde",C49)))</formula>
    </cfRule>
  </conditionalFormatting>
  <conditionalFormatting sqref="F246">
    <cfRule type="containsText" dxfId="11" priority="18" operator="containsText" text="Attention">
      <formula>NOT(ISERROR(SEARCH("Attention",F246)))</formula>
    </cfRule>
    <cfRule type="containsText" dxfId="10" priority="19" operator="containsText" text="garde">
      <formula>NOT(ISERROR(SEARCH("garde",F246)))</formula>
    </cfRule>
  </conditionalFormatting>
  <conditionalFormatting sqref="E124:E137">
    <cfRule type="expression" dxfId="9" priority="16">
      <formula>AND(OR(D124&lt;&gt;0,D124&lt;&gt;""),E124="")</formula>
    </cfRule>
  </conditionalFormatting>
  <conditionalFormatting sqref="G124:G137">
    <cfRule type="containsText" dxfId="8" priority="15" operator="containsText" text="&gt;">
      <formula>NOT(ISERROR(SEARCH("&gt;",G124)))</formula>
    </cfRule>
  </conditionalFormatting>
  <conditionalFormatting sqref="E22:F23">
    <cfRule type="containsText" dxfId="7" priority="13" operator="containsText" text="obligatoire">
      <formula>NOT(ISERROR(SEARCH("obligatoire",E22)))</formula>
    </cfRule>
  </conditionalFormatting>
  <conditionalFormatting sqref="F172:G173">
    <cfRule type="containsText" dxfId="6" priority="6" operator="containsText" text="fixé">
      <formula>NOT(ISERROR(SEARCH("fixé",F172)))</formula>
    </cfRule>
    <cfRule type="containsText" dxfId="5" priority="12" operator="containsText" text="pente">
      <formula>NOT(ISERROR(SEARCH("pente",F172)))</formula>
    </cfRule>
  </conditionalFormatting>
  <conditionalFormatting sqref="F242:G243">
    <cfRule type="containsText" dxfId="4" priority="7" operator="containsText" text="Concentration">
      <formula>NOT(ISERROR(SEARCH("Concentration",F242)))</formula>
    </cfRule>
  </conditionalFormatting>
  <conditionalFormatting sqref="C252:D253">
    <cfRule type="containsText" dxfId="3" priority="4" operator="containsText" text="✓">
      <formula>NOT(ISERROR(SEARCH("✓",C252)))</formula>
    </cfRule>
  </conditionalFormatting>
  <conditionalFormatting sqref="E252">
    <cfRule type="containsText" dxfId="2" priority="3" operator="containsText" text="✓">
      <formula>NOT(ISERROR(SEARCH("✓",E252)))</formula>
    </cfRule>
  </conditionalFormatting>
  <conditionalFormatting sqref="C208:C210">
    <cfRule type="containsText" dxfId="1" priority="2" operator="containsText" text="✓">
      <formula>NOT(ISERROR(SEARCH("✓",C208)))</formula>
    </cfRule>
  </conditionalFormatting>
  <conditionalFormatting sqref="C219:G219">
    <cfRule type="containsText" dxfId="0" priority="1" operator="containsText" text="Attention">
      <formula>NOT(ISERROR(SEARCH("Attention",C219)))</formula>
    </cfRule>
  </conditionalFormatting>
  <dataValidations count="8">
    <dataValidation type="list" allowBlank="1" showInputMessage="1" showErrorMessage="1" sqref="C268" xr:uid="{00000000-0002-0000-0000-000000000000}">
      <formula1>"A - Voisinage du site à l'étude,B - Uniformément réparti,C - En tête de bassin versant"</formula1>
    </dataValidation>
    <dataValidation type="list" allowBlank="1" showInputMessage="1" showErrorMessage="1" sqref="D103" xr:uid="{A41A3672-CF62-4512-B4FC-1F523AFB3C8E}">
      <formula1>"&lt; 3%,3 à 8%,&gt; 8%"</formula1>
    </dataValidation>
    <dataValidation type="list" allowBlank="1" showInputMessage="1" showErrorMessage="1" sqref="E247" xr:uid="{CFC9BE7C-4143-44EE-8C4A-9B0C62976C6B}">
      <formula1>"2 paramètres,3 paramètres, Fq &amp; Fi"</formula1>
    </dataValidation>
    <dataValidation type="list" allowBlank="1" showInputMessage="1" showErrorMessage="1" sqref="D228" xr:uid="{B8882AFF-99CE-4BAC-BC7D-0AF9BD414092}">
      <formula1>"Figure 3.5-2 du MCP, Station personnalisée,Autre"</formula1>
    </dataValidation>
    <dataValidation type="list" allowBlank="1" showInputMessage="1" showErrorMessage="1" sqref="E246" xr:uid="{DB0F3EC6-3B7E-4C9B-8C86-A81A549B89F5}">
      <formula1>$O$191:$V$191</formula1>
    </dataValidation>
    <dataValidation type="list" allowBlank="1" showInputMessage="1" showErrorMessage="1" sqref="C172:E172" xr:uid="{1A8414F8-AFC0-48D1-A4A0-F97A6A3779F5}">
      <formula1>$O$172:$Q$172</formula1>
    </dataValidation>
    <dataValidation type="list" allowBlank="1" showInputMessage="1" showErrorMessage="1" sqref="C204:D204" xr:uid="{FEEC3979-44F6-48D7-B932-75E9CC4B4609}">
      <formula1>"Temps de concentration en heures, Temps de concentration en minutes"</formula1>
    </dataValidation>
    <dataValidation type="list" allowBlank="1" showInputMessage="1" showErrorMessage="1" sqref="C203:D203" xr:uid="{44AECEDE-F5C3-41B6-A9E9-89390714F298}">
      <formula1>"Temps (t) en heures, Temps (t) en minutes"</formula1>
    </dataValidation>
  </dataValidations>
  <hyperlinks>
    <hyperlink ref="B47" r:id="rId1" display="https://www.donneesquebec.ca/" xr:uid="{B083B6C0-8B98-49D7-ABCB-3F3729F92212}"/>
    <hyperlink ref="B48" r:id="rId2" display="https://www.foretouverte.gouv.qc.ca/ " xr:uid="{977FC036-E941-4FF8-A955-C5043841EBE7}"/>
    <hyperlink ref="B96" r:id="rId3" display="https://www.irda.qc.ca/fr/services/protection-ressources/sante-sols/information-sols/etudes-pedologiques/  " xr:uid="{414F8B2B-F736-459E-997D-748E51500E91}"/>
    <hyperlink ref="B97" r:id="rId4" display="Dépôts de surface: https://www.quebec.ca/agriculture-environnement-et-ressources-naturelles/forets/recherche-connaissances/inventaire-forestier/donnees-cartes-resultats" xr:uid="{7A2D2EF9-D682-4715-BB32-A015C80C50DE}"/>
    <hyperlink ref="B98" r:id="rId5" display="Dépôts de surface (matriciel): https://www.donneesquebec.ca/recherche/fr/dataset/depots-de-surface" xr:uid="{07BE1117-2278-466D-9B7E-1871F0568A51}"/>
    <hyperlink ref="A185" r:id="rId6" display="Lien vers les courbes IDF:  https://collaboration.cmc.ec.gc.ca/cmc/climate/Engineer_Climate/IDF" xr:uid="{B0562E0C-EE17-4C4C-B788-8E1F0823862D}"/>
    <hyperlink ref="B31:F31" r:id="rId7" display="Pour acheminer des commentaires ou partager des problèmes rencontrés avec la feuille, contacter la boîte de demande de la Direction (soutien.dh@transports.gouv.qc.ca)." xr:uid="{B51FC89C-E57C-45F0-B849-E339A48E4EEE}"/>
    <hyperlink ref="G93" location="Références!A3" tooltip="Référence 1" display="Référence 1" xr:uid="{B25BB64C-6556-48BA-9BFB-935E769BA642}"/>
    <hyperlink ref="G263" location="Références!A225" tooltip="Référence 4" display="Référence 4" xr:uid="{B2A64797-73DA-48A9-885B-4AB739735ED0}"/>
    <hyperlink ref="F105" location="'Hydrologie-Méthode rationnelle'!W96" tooltip="Les figures peuvent insérées aux pages 9 à 12 de la note de calculs (2 pages pour cette section)." display="Figure(s) :" xr:uid="{D33A3D02-ED49-44B5-96F3-FF8BD1708D38}"/>
    <hyperlink ref="F44" location="'Hydrologie-Méthode rationnelle'!W3" tooltip="Les figures peuvent insérées aux pages 9 à 12 de la note de calculs." display="Figure :" xr:uid="{0CD6E5DA-59B8-484D-9EE0-A2650C0E62ED}"/>
    <hyperlink ref="F150" location="'Hydrologie-Méthode rationnelle'!W189" tooltip="Les figures peuvent insérées aux pages 9 à 12 de la note de calculs." display="Figure :" xr:uid="{A6B7A63F-83F5-4ED0-9ABA-E1D2F8667005}"/>
    <hyperlink ref="F63" location="'Hydrologie-Méthode rationnelle'!W42" tooltip="Les figures peuvent insérées aux pages 9 à 12 de la note de calculs." display="Figure :" xr:uid="{9BD6E275-D9A6-4C3B-B32F-0A11100DD88B}"/>
    <hyperlink ref="H2:N2" location="'Hydrologie-Méthode rationnelle'!H1" tooltip="Les cellules des feuilles suivantes sont débarrées pour permettre à l'utilisateur d'ajouter des notes." display="FIGURES ET NOTES" xr:uid="{DD70A9B9-4EB8-432D-B4C7-4E48821BDEBC}"/>
    <hyperlink ref="A203:B203" location="'Hydrologie-Méthode rationnelle'!A202" tooltip="Les équations de régression permettant de calculer les paramètres abc sont parfois exprimées en heures, parfois en minutes. Il est important de vérifier dans quelle unité ces paramètres ont été calculés." display="Unités du temps (t) de l'équation de régression:" xr:uid="{25AAE557-7765-41BE-85FD-AB242CF16DB6}"/>
    <hyperlink ref="G223" location="Références!A175" tooltip="Référence 3" display="Référence 3" xr:uid="{B1677E6E-3FB4-4294-9127-F943C03FC23C}"/>
    <hyperlink ref="G200" location="Références!A50" tooltip="Référence 2" display="Référence 2" xr:uid="{C4E223DA-6645-41F6-89CE-D9C1B4A69ADA}"/>
  </hyperlinks>
  <pageMargins left="0.70866141732283472" right="0.70866141732283472" top="0.74803149606299213" bottom="0.74803149606299213" header="0.31496062992125984" footer="0.31496062992125984"/>
  <pageSetup scale="61" fitToHeight="0" orientation="landscape" r:id="rId8"/>
  <headerFooter>
    <oddFooter>&amp;R&amp;"Swis721 Cn BT,Roman"PAGE &amp;P de &amp;N</oddFooter>
  </headerFooter>
  <rowBreaks count="13" manualBreakCount="13">
    <brk id="38" max="6" man="1"/>
    <brk id="40" min="7" max="13" man="1"/>
    <brk id="90" max="6" man="1"/>
    <brk id="94" min="7" max="13" man="1"/>
    <brk id="141" max="6" man="1"/>
    <brk id="145" min="7" max="13" man="1"/>
    <brk id="178" max="6" man="1"/>
    <brk id="187" min="7" max="13" man="1"/>
    <brk id="221" max="6" man="1"/>
    <brk id="260" max="6" man="1"/>
    <brk id="296" max="6" man="1"/>
    <brk id="339" max="16383" man="1"/>
    <brk id="475" max="6" man="1"/>
  </rowBreaks>
  <colBreaks count="1" manualBreakCount="1">
    <brk id="8" max="1048575" man="1"/>
  </colBreaks>
  <ignoredErrors>
    <ignoredError sqref="C87:D87" formula="1"/>
  </ignoredErrors>
  <drawing r:id="rId9"/>
  <legacyDrawing r:id="rId10"/>
  <oleObjects>
    <mc:AlternateContent xmlns:mc="http://schemas.openxmlformats.org/markup-compatibility/2006">
      <mc:Choice Requires="x14">
        <oleObject progId="Paint.Picture" shapeId="1122" r:id="rId11">
          <objectPr locked="0" defaultSize="0" r:id="rId12">
            <anchor>
              <from>
                <xdr:col>8</xdr:col>
                <xdr:colOff>171450</xdr:colOff>
                <xdr:row>6</xdr:row>
                <xdr:rowOff>85725</xdr:rowOff>
              </from>
              <to>
                <xdr:col>13</xdr:col>
                <xdr:colOff>838200</xdr:colOff>
                <xdr:row>31</xdr:row>
                <xdr:rowOff>38100</xdr:rowOff>
              </to>
            </anchor>
          </objectPr>
        </oleObject>
      </mc:Choice>
      <mc:Fallback>
        <oleObject progId="Paint.Picture" shapeId="1122" r:id="rId11"/>
      </mc:Fallback>
    </mc:AlternateContent>
    <mc:AlternateContent xmlns:mc="http://schemas.openxmlformats.org/markup-compatibility/2006">
      <mc:Choice Requires="x14">
        <oleObject progId="Paint.Picture" shapeId="1123" r:id="rId13">
          <objectPr locked="0" defaultSize="0" autoPict="0" r:id="rId12">
            <anchor>
              <from>
                <xdr:col>8</xdr:col>
                <xdr:colOff>104775</xdr:colOff>
                <xdr:row>45</xdr:row>
                <xdr:rowOff>123825</xdr:rowOff>
              </from>
              <to>
                <xdr:col>13</xdr:col>
                <xdr:colOff>781050</xdr:colOff>
                <xdr:row>85</xdr:row>
                <xdr:rowOff>66675</xdr:rowOff>
              </to>
            </anchor>
          </objectPr>
        </oleObject>
      </mc:Choice>
      <mc:Fallback>
        <oleObject progId="Paint.Picture" shapeId="1123" r:id="rId13"/>
      </mc:Fallback>
    </mc:AlternateContent>
    <mc:AlternateContent xmlns:mc="http://schemas.openxmlformats.org/markup-compatibility/2006">
      <mc:Choice Requires="x14">
        <oleObject progId="Paint.Picture" shapeId="1124" r:id="rId14">
          <objectPr locked="0" defaultSize="0" autoPict="0" r:id="rId12">
            <anchor>
              <from>
                <xdr:col>8</xdr:col>
                <xdr:colOff>28575</xdr:colOff>
                <xdr:row>99</xdr:row>
                <xdr:rowOff>85725</xdr:rowOff>
              </from>
              <to>
                <xdr:col>13</xdr:col>
                <xdr:colOff>695325</xdr:colOff>
                <xdr:row>135</xdr:row>
                <xdr:rowOff>114300</xdr:rowOff>
              </to>
            </anchor>
          </objectPr>
        </oleObject>
      </mc:Choice>
      <mc:Fallback>
        <oleObject progId="Paint.Picture" shapeId="1124" r:id="rId14"/>
      </mc:Fallback>
    </mc:AlternateContent>
    <mc:AlternateContent xmlns:mc="http://schemas.openxmlformats.org/markup-compatibility/2006">
      <mc:Choice Requires="x14">
        <oleObject progId="Paint.Picture" shapeId="1125" r:id="rId15">
          <objectPr locked="0" defaultSize="0" autoPict="0" r:id="rId12">
            <anchor>
              <from>
                <xdr:col>8</xdr:col>
                <xdr:colOff>180975</xdr:colOff>
                <xdr:row>150</xdr:row>
                <xdr:rowOff>76200</xdr:rowOff>
              </from>
              <to>
                <xdr:col>13</xdr:col>
                <xdr:colOff>857250</xdr:colOff>
                <xdr:row>177</xdr:row>
                <xdr:rowOff>123825</xdr:rowOff>
              </to>
            </anchor>
          </objectPr>
        </oleObject>
      </mc:Choice>
      <mc:Fallback>
        <oleObject progId="Paint.Picture" shapeId="1125" r:id="rId15"/>
      </mc:Fallback>
    </mc:AlternateContent>
    <mc:AlternateContent xmlns:mc="http://schemas.openxmlformats.org/markup-compatibility/2006">
      <mc:Choice Requires="x14">
        <oleObject progId="Paint.Picture" shapeId="1127" r:id="rId16">
          <objectPr locked="0" defaultSize="0" r:id="rId12">
            <anchor>
              <from>
                <xdr:col>8</xdr:col>
                <xdr:colOff>28575</xdr:colOff>
                <xdr:row>192</xdr:row>
                <xdr:rowOff>114300</xdr:rowOff>
              </from>
              <to>
                <xdr:col>13</xdr:col>
                <xdr:colOff>695325</xdr:colOff>
                <xdr:row>223</xdr:row>
                <xdr:rowOff>76200</xdr:rowOff>
              </to>
            </anchor>
          </objectPr>
        </oleObject>
      </mc:Choice>
      <mc:Fallback>
        <oleObject progId="Paint.Picture" shapeId="1127" r:id="rId1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82C72DCF-C328-472F-9A52-3D586AE35523}">
          <x14:formula1>
            <xm:f>'Listes - Data Validation'!$A$1:$A$22</xm:f>
          </x14:formula1>
          <xm:sqref>A124:A137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A421-D170-4D15-8692-EA27F24268FF}">
  <sheetPr>
    <pageSetUpPr fitToPage="1"/>
  </sheetPr>
  <dimension ref="A1:N258"/>
  <sheetViews>
    <sheetView view="pageBreakPreview" topLeftCell="B1" zoomScaleNormal="100" zoomScaleSheetLayoutView="100" workbookViewId="0">
      <selection activeCell="B228" sqref="B228"/>
    </sheetView>
  </sheetViews>
  <sheetFormatPr baseColWidth="10" defaultColWidth="11.42578125" defaultRowHeight="12.75"/>
  <cols>
    <col min="1" max="1" width="30.85546875" style="186" hidden="1" customWidth="1"/>
    <col min="2" max="2" width="22.28515625" style="240" customWidth="1"/>
    <col min="3" max="3" width="36.140625" style="240" bestFit="1" customWidth="1"/>
    <col min="4" max="4" width="21.85546875" style="240" bestFit="1" customWidth="1"/>
    <col min="5" max="5" width="9.42578125" style="240" bestFit="1" customWidth="1"/>
    <col min="6" max="11" width="11.42578125" style="240"/>
    <col min="12" max="16384" width="11.42578125" style="186"/>
  </cols>
  <sheetData>
    <row r="1" spans="1:14" ht="29.25" customHeight="1">
      <c r="B1" s="346" t="s">
        <v>441</v>
      </c>
      <c r="C1" s="346"/>
      <c r="D1" s="346"/>
      <c r="E1" s="346"/>
      <c r="F1" s="346"/>
      <c r="G1" s="346"/>
      <c r="H1" s="346"/>
      <c r="I1" s="346"/>
      <c r="J1" s="346"/>
      <c r="K1" s="346"/>
      <c r="L1" s="187"/>
      <c r="M1" s="187"/>
      <c r="N1" s="187"/>
    </row>
    <row r="2" spans="1:14">
      <c r="A2" s="461"/>
      <c r="B2" s="237"/>
      <c r="C2" s="237"/>
      <c r="D2" s="237"/>
      <c r="E2" s="237"/>
      <c r="F2" s="237"/>
      <c r="G2" s="237"/>
      <c r="H2" s="237"/>
      <c r="I2" s="237"/>
      <c r="J2" s="458" t="str">
        <f>'Hydrologie-Méthode rationnelle'!F33</f>
        <v>VERSION 1.0</v>
      </c>
      <c r="K2" s="458"/>
    </row>
    <row r="3" spans="1:14" ht="18.75">
      <c r="A3" s="461"/>
      <c r="B3" s="239" t="s">
        <v>440</v>
      </c>
      <c r="C3" s="308" t="s">
        <v>587</v>
      </c>
      <c r="D3" s="237"/>
      <c r="E3" s="237"/>
      <c r="F3" s="237"/>
      <c r="G3" s="237"/>
      <c r="H3" s="237"/>
      <c r="I3" s="237"/>
      <c r="J3" s="237"/>
      <c r="K3" s="237"/>
    </row>
    <row r="4" spans="1:14">
      <c r="A4" s="461"/>
      <c r="B4" s="235"/>
      <c r="C4" s="235"/>
      <c r="D4" s="235"/>
      <c r="E4" s="235"/>
      <c r="F4" s="235"/>
      <c r="G4" s="235"/>
      <c r="H4" s="235"/>
      <c r="I4" s="235"/>
      <c r="J4" s="235"/>
      <c r="K4" s="237"/>
    </row>
    <row r="5" spans="1:14" ht="15">
      <c r="A5" s="461"/>
      <c r="B5" s="58" t="s">
        <v>677</v>
      </c>
      <c r="C5" s="67"/>
      <c r="D5" s="235"/>
      <c r="E5" s="235"/>
      <c r="F5" s="235"/>
      <c r="G5" s="235"/>
      <c r="H5" s="235"/>
      <c r="I5" s="235"/>
      <c r="J5" s="235"/>
      <c r="K5" s="237"/>
    </row>
    <row r="6" spans="1:14">
      <c r="A6" s="461"/>
      <c r="B6" s="18" t="s">
        <v>442</v>
      </c>
      <c r="C6" s="18" t="s">
        <v>0</v>
      </c>
      <c r="D6" s="18" t="s">
        <v>14</v>
      </c>
      <c r="E6" s="18" t="s">
        <v>15</v>
      </c>
      <c r="F6" s="19"/>
      <c r="G6" s="19"/>
      <c r="H6" s="19"/>
      <c r="I6" s="235"/>
      <c r="J6" s="235"/>
      <c r="K6" s="235"/>
    </row>
    <row r="7" spans="1:14">
      <c r="A7" s="461"/>
      <c r="B7" s="19" t="s">
        <v>3</v>
      </c>
      <c r="C7" s="19" t="s">
        <v>16</v>
      </c>
      <c r="D7" s="19" t="s">
        <v>6</v>
      </c>
      <c r="E7" s="19">
        <v>0.22</v>
      </c>
      <c r="F7" s="19"/>
      <c r="G7" s="235"/>
      <c r="H7" s="235"/>
      <c r="I7" s="235"/>
      <c r="J7" s="235"/>
      <c r="K7" s="235"/>
    </row>
    <row r="8" spans="1:14">
      <c r="A8" s="461"/>
      <c r="B8" s="19" t="s">
        <v>3</v>
      </c>
      <c r="C8" s="19" t="s">
        <v>16</v>
      </c>
      <c r="D8" s="19" t="s">
        <v>7</v>
      </c>
      <c r="E8" s="19">
        <v>0.36</v>
      </c>
      <c r="F8" s="19"/>
      <c r="G8" s="235"/>
      <c r="H8" s="235"/>
      <c r="I8" s="235"/>
      <c r="J8" s="235"/>
      <c r="K8" s="235"/>
    </row>
    <row r="9" spans="1:14">
      <c r="A9" s="461"/>
      <c r="B9" s="19" t="s">
        <v>3</v>
      </c>
      <c r="C9" s="19" t="s">
        <v>16</v>
      </c>
      <c r="D9" s="19" t="s">
        <v>8</v>
      </c>
      <c r="E9" s="19">
        <v>0.47</v>
      </c>
      <c r="F9" s="19"/>
      <c r="G9" s="235"/>
      <c r="H9" s="235"/>
      <c r="I9" s="235"/>
      <c r="J9" s="235"/>
      <c r="K9" s="235"/>
    </row>
    <row r="10" spans="1:14">
      <c r="A10" s="461"/>
      <c r="B10" s="19" t="s">
        <v>3</v>
      </c>
      <c r="C10" s="19" t="s">
        <v>16</v>
      </c>
      <c r="D10" s="19" t="s">
        <v>17</v>
      </c>
      <c r="E10" s="19">
        <v>0.51</v>
      </c>
      <c r="F10" s="19"/>
      <c r="G10" s="235"/>
      <c r="H10" s="235"/>
      <c r="I10" s="235"/>
      <c r="J10" s="235"/>
      <c r="K10" s="235"/>
    </row>
    <row r="11" spans="1:14">
      <c r="A11" s="461"/>
      <c r="B11" s="19" t="s">
        <v>3</v>
      </c>
      <c r="C11" s="19" t="s">
        <v>9</v>
      </c>
      <c r="D11" s="19" t="s">
        <v>6</v>
      </c>
      <c r="E11" s="19">
        <v>0.25</v>
      </c>
      <c r="F11" s="19"/>
      <c r="G11" s="235"/>
      <c r="H11" s="235"/>
      <c r="I11" s="235"/>
      <c r="J11" s="235"/>
      <c r="K11" s="235"/>
    </row>
    <row r="12" spans="1:14">
      <c r="A12" s="461"/>
      <c r="B12" s="19" t="s">
        <v>3</v>
      </c>
      <c r="C12" s="19" t="s">
        <v>9</v>
      </c>
      <c r="D12" s="19" t="s">
        <v>7</v>
      </c>
      <c r="E12" s="19">
        <v>0.43</v>
      </c>
      <c r="F12" s="19"/>
      <c r="G12" s="235"/>
      <c r="H12" s="235"/>
      <c r="I12" s="235"/>
      <c r="J12" s="235"/>
      <c r="K12" s="235"/>
    </row>
    <row r="13" spans="1:14">
      <c r="A13" s="461"/>
      <c r="B13" s="19" t="s">
        <v>3</v>
      </c>
      <c r="C13" s="19" t="s">
        <v>9</v>
      </c>
      <c r="D13" s="19" t="s">
        <v>8</v>
      </c>
      <c r="E13" s="19">
        <v>0.59</v>
      </c>
      <c r="F13" s="19"/>
      <c r="G13" s="235"/>
      <c r="H13" s="235"/>
      <c r="I13" s="235"/>
      <c r="J13" s="235"/>
      <c r="K13" s="235"/>
    </row>
    <row r="14" spans="1:14">
      <c r="A14" s="461"/>
      <c r="B14" s="19" t="s">
        <v>3</v>
      </c>
      <c r="C14" s="19" t="s">
        <v>9</v>
      </c>
      <c r="D14" s="19" t="s">
        <v>17</v>
      </c>
      <c r="E14" s="19">
        <v>0.67</v>
      </c>
      <c r="F14" s="19"/>
      <c r="G14" s="235"/>
      <c r="H14" s="235"/>
      <c r="I14" s="235"/>
      <c r="J14" s="235"/>
      <c r="K14" s="235"/>
    </row>
    <row r="15" spans="1:14">
      <c r="A15" s="461"/>
      <c r="B15" s="19" t="s">
        <v>3</v>
      </c>
      <c r="C15" s="19" t="s">
        <v>18</v>
      </c>
      <c r="D15" s="19" t="s">
        <v>6</v>
      </c>
      <c r="E15" s="19">
        <v>0.32</v>
      </c>
      <c r="F15" s="19"/>
      <c r="G15" s="235"/>
      <c r="H15" s="235"/>
      <c r="I15" s="235"/>
      <c r="J15" s="235"/>
      <c r="K15" s="235"/>
    </row>
    <row r="16" spans="1:14">
      <c r="A16" s="461"/>
      <c r="B16" s="19" t="s">
        <v>3</v>
      </c>
      <c r="C16" s="19" t="s">
        <v>18</v>
      </c>
      <c r="D16" s="19" t="s">
        <v>7</v>
      </c>
      <c r="E16" s="19">
        <v>0.51</v>
      </c>
      <c r="F16" s="19"/>
      <c r="G16" s="235"/>
      <c r="H16" s="235"/>
      <c r="I16" s="235"/>
      <c r="J16" s="235"/>
      <c r="K16" s="235"/>
    </row>
    <row r="17" spans="1:13">
      <c r="A17" s="461"/>
      <c r="B17" s="19" t="s">
        <v>3</v>
      </c>
      <c r="C17" s="19" t="s">
        <v>18</v>
      </c>
      <c r="D17" s="19" t="s">
        <v>8</v>
      </c>
      <c r="E17" s="19">
        <v>0.67</v>
      </c>
      <c r="F17" s="19"/>
      <c r="G17" s="235"/>
      <c r="H17" s="235"/>
      <c r="I17" s="235"/>
      <c r="J17" s="235"/>
      <c r="K17" s="235"/>
    </row>
    <row r="18" spans="1:13">
      <c r="A18" s="461"/>
      <c r="B18" s="19" t="s">
        <v>3</v>
      </c>
      <c r="C18" s="19" t="s">
        <v>18</v>
      </c>
      <c r="D18" s="19" t="s">
        <v>17</v>
      </c>
      <c r="E18" s="19">
        <v>0.73</v>
      </c>
      <c r="F18" s="19"/>
      <c r="G18" s="235"/>
      <c r="H18" s="235"/>
      <c r="I18" s="235"/>
      <c r="J18" s="235"/>
      <c r="K18" s="235"/>
    </row>
    <row r="19" spans="1:13">
      <c r="A19" s="461"/>
      <c r="B19" s="19"/>
      <c r="C19" s="19"/>
      <c r="D19" s="19"/>
      <c r="E19" s="19"/>
      <c r="F19" s="19"/>
      <c r="G19" s="235"/>
      <c r="H19" s="235"/>
      <c r="I19" s="235"/>
      <c r="J19" s="235"/>
      <c r="K19" s="235"/>
    </row>
    <row r="20" spans="1:13">
      <c r="A20" s="461"/>
      <c r="B20" s="19" t="s">
        <v>4</v>
      </c>
      <c r="C20" s="19" t="s">
        <v>16</v>
      </c>
      <c r="D20" s="19" t="s">
        <v>6</v>
      </c>
      <c r="E20" s="19">
        <v>0.08</v>
      </c>
      <c r="F20" s="19"/>
      <c r="G20" s="235"/>
      <c r="H20" s="235"/>
      <c r="I20" s="235"/>
      <c r="J20" s="235"/>
      <c r="K20" s="235"/>
      <c r="M20" s="188"/>
    </row>
    <row r="21" spans="1:13">
      <c r="A21" s="461"/>
      <c r="B21" s="19" t="s">
        <v>4</v>
      </c>
      <c r="C21" s="19" t="s">
        <v>16</v>
      </c>
      <c r="D21" s="19" t="s">
        <v>7</v>
      </c>
      <c r="E21" s="19">
        <v>0.17</v>
      </c>
      <c r="F21" s="19"/>
      <c r="G21" s="235"/>
      <c r="H21" s="235"/>
      <c r="I21" s="235"/>
      <c r="J21" s="235"/>
      <c r="K21" s="235"/>
    </row>
    <row r="22" spans="1:13">
      <c r="A22" s="461"/>
      <c r="B22" s="19" t="s">
        <v>4</v>
      </c>
      <c r="C22" s="19" t="s">
        <v>16</v>
      </c>
      <c r="D22" s="19" t="s">
        <v>8</v>
      </c>
      <c r="E22" s="19">
        <v>0.34</v>
      </c>
      <c r="F22" s="19"/>
      <c r="G22" s="235"/>
      <c r="H22" s="235"/>
      <c r="I22" s="235"/>
      <c r="J22" s="235"/>
      <c r="K22" s="235"/>
    </row>
    <row r="23" spans="1:13">
      <c r="A23" s="461"/>
      <c r="B23" s="19" t="s">
        <v>4</v>
      </c>
      <c r="C23" s="19" t="s">
        <v>16</v>
      </c>
      <c r="D23" s="19" t="s">
        <v>17</v>
      </c>
      <c r="E23" s="19">
        <v>0.43</v>
      </c>
      <c r="F23" s="19"/>
      <c r="G23" s="235"/>
      <c r="H23" s="235"/>
      <c r="I23" s="235"/>
      <c r="J23" s="235"/>
      <c r="K23" s="235"/>
    </row>
    <row r="24" spans="1:13">
      <c r="A24" s="461"/>
      <c r="B24" s="19" t="s">
        <v>4</v>
      </c>
      <c r="C24" s="19" t="s">
        <v>9</v>
      </c>
      <c r="D24" s="19" t="s">
        <v>6</v>
      </c>
      <c r="E24" s="19">
        <v>0.1</v>
      </c>
      <c r="F24" s="19"/>
      <c r="G24" s="235"/>
      <c r="H24" s="235"/>
      <c r="I24" s="235"/>
      <c r="J24" s="235"/>
      <c r="K24" s="235"/>
    </row>
    <row r="25" spans="1:13">
      <c r="A25" s="461"/>
      <c r="B25" s="19" t="s">
        <v>4</v>
      </c>
      <c r="C25" s="19" t="s">
        <v>9</v>
      </c>
      <c r="D25" s="19" t="s">
        <v>7</v>
      </c>
      <c r="E25" s="19">
        <v>0.25</v>
      </c>
      <c r="F25" s="19"/>
      <c r="G25" s="235"/>
      <c r="H25" s="235"/>
      <c r="I25" s="235"/>
      <c r="J25" s="235"/>
      <c r="K25" s="235"/>
    </row>
    <row r="26" spans="1:13">
      <c r="A26" s="461"/>
      <c r="B26" s="19" t="s">
        <v>4</v>
      </c>
      <c r="C26" s="19" t="s">
        <v>9</v>
      </c>
      <c r="D26" s="19" t="s">
        <v>8</v>
      </c>
      <c r="E26" s="19">
        <v>0.43</v>
      </c>
      <c r="F26" s="19"/>
      <c r="G26" s="235"/>
      <c r="H26" s="235"/>
      <c r="I26" s="235"/>
      <c r="J26" s="235"/>
      <c r="K26" s="235"/>
    </row>
    <row r="27" spans="1:13">
      <c r="A27" s="461"/>
      <c r="B27" s="19" t="s">
        <v>4</v>
      </c>
      <c r="C27" s="19" t="s">
        <v>9</v>
      </c>
      <c r="D27" s="19" t="s">
        <v>17</v>
      </c>
      <c r="E27" s="19">
        <v>0.51</v>
      </c>
      <c r="F27" s="19"/>
      <c r="G27" s="235"/>
      <c r="H27" s="235"/>
      <c r="I27" s="235"/>
      <c r="J27" s="235"/>
      <c r="K27" s="235"/>
    </row>
    <row r="28" spans="1:13">
      <c r="A28" s="461"/>
      <c r="B28" s="19" t="s">
        <v>4</v>
      </c>
      <c r="C28" s="19" t="s">
        <v>18</v>
      </c>
      <c r="D28" s="19" t="s">
        <v>6</v>
      </c>
      <c r="E28" s="19">
        <v>0.2</v>
      </c>
      <c r="F28" s="19"/>
      <c r="G28" s="235"/>
      <c r="H28" s="235"/>
      <c r="I28" s="235"/>
      <c r="J28" s="235"/>
      <c r="K28" s="235"/>
    </row>
    <row r="29" spans="1:13">
      <c r="A29" s="461"/>
      <c r="B29" s="19" t="s">
        <v>4</v>
      </c>
      <c r="C29" s="19" t="s">
        <v>18</v>
      </c>
      <c r="D29" s="19" t="s">
        <v>7</v>
      </c>
      <c r="E29" s="19">
        <v>0.39</v>
      </c>
      <c r="F29" s="19"/>
      <c r="G29" s="235"/>
      <c r="H29" s="235"/>
      <c r="I29" s="235"/>
      <c r="J29" s="235"/>
      <c r="K29" s="235"/>
    </row>
    <row r="30" spans="1:13">
      <c r="A30" s="461"/>
      <c r="B30" s="19" t="s">
        <v>4</v>
      </c>
      <c r="C30" s="19" t="s">
        <v>18</v>
      </c>
      <c r="D30" s="19" t="s">
        <v>8</v>
      </c>
      <c r="E30" s="19">
        <v>0.56000000000000005</v>
      </c>
      <c r="F30" s="19"/>
      <c r="G30" s="235"/>
      <c r="H30" s="235"/>
      <c r="I30" s="235"/>
      <c r="J30" s="235"/>
      <c r="K30" s="235"/>
    </row>
    <row r="31" spans="1:13">
      <c r="A31" s="461"/>
      <c r="B31" s="19" t="s">
        <v>4</v>
      </c>
      <c r="C31" s="19" t="s">
        <v>18</v>
      </c>
      <c r="D31" s="19" t="s">
        <v>17</v>
      </c>
      <c r="E31" s="19">
        <v>0.64</v>
      </c>
      <c r="F31" s="19"/>
      <c r="G31" s="235"/>
      <c r="H31" s="235"/>
      <c r="I31" s="235"/>
      <c r="J31" s="235"/>
      <c r="K31" s="235"/>
    </row>
    <row r="32" spans="1:13">
      <c r="A32" s="461"/>
      <c r="B32" s="19"/>
      <c r="C32" s="19"/>
      <c r="D32" s="19"/>
      <c r="E32" s="19"/>
      <c r="F32" s="19"/>
      <c r="G32" s="235"/>
      <c r="H32" s="235"/>
      <c r="I32" s="235"/>
      <c r="J32" s="235"/>
      <c r="K32" s="235"/>
    </row>
    <row r="33" spans="1:11">
      <c r="A33" s="461"/>
      <c r="B33" s="19" t="s">
        <v>5</v>
      </c>
      <c r="C33" s="19" t="s">
        <v>16</v>
      </c>
      <c r="D33" s="19" t="s">
        <v>6</v>
      </c>
      <c r="E33" s="19">
        <v>0.04</v>
      </c>
      <c r="F33" s="19"/>
      <c r="G33" s="235"/>
      <c r="H33" s="235"/>
      <c r="I33" s="235"/>
      <c r="J33" s="235"/>
      <c r="K33" s="235"/>
    </row>
    <row r="34" spans="1:11">
      <c r="A34" s="461"/>
      <c r="B34" s="19" t="s">
        <v>5</v>
      </c>
      <c r="C34" s="19" t="s">
        <v>16</v>
      </c>
      <c r="D34" s="19" t="s">
        <v>7</v>
      </c>
      <c r="E34" s="19">
        <v>0.15</v>
      </c>
      <c r="F34" s="19"/>
      <c r="G34" s="235"/>
      <c r="H34" s="235"/>
      <c r="I34" s="235"/>
      <c r="J34" s="235"/>
      <c r="K34" s="235"/>
    </row>
    <row r="35" spans="1:11">
      <c r="A35" s="461"/>
      <c r="B35" s="19" t="s">
        <v>5</v>
      </c>
      <c r="C35" s="19" t="s">
        <v>16</v>
      </c>
      <c r="D35" s="19" t="s">
        <v>8</v>
      </c>
      <c r="E35" s="19">
        <v>0.28999999999999998</v>
      </c>
      <c r="F35" s="19"/>
      <c r="G35" s="235"/>
      <c r="H35" s="235"/>
      <c r="I35" s="235"/>
      <c r="J35" s="235"/>
      <c r="K35" s="235"/>
    </row>
    <row r="36" spans="1:11">
      <c r="A36" s="461"/>
      <c r="B36" s="19" t="s">
        <v>5</v>
      </c>
      <c r="C36" s="19" t="s">
        <v>16</v>
      </c>
      <c r="D36" s="19" t="s">
        <v>17</v>
      </c>
      <c r="E36" s="19">
        <v>0.37</v>
      </c>
      <c r="F36" s="19"/>
      <c r="G36" s="235"/>
      <c r="H36" s="235"/>
      <c r="I36" s="235"/>
      <c r="J36" s="235"/>
      <c r="K36" s="235"/>
    </row>
    <row r="37" spans="1:11">
      <c r="A37" s="461"/>
      <c r="B37" s="19" t="s">
        <v>5</v>
      </c>
      <c r="C37" s="19" t="s">
        <v>9</v>
      </c>
      <c r="D37" s="19" t="s">
        <v>6</v>
      </c>
      <c r="E37" s="19">
        <v>7.0000000000000007E-2</v>
      </c>
      <c r="F37" s="19"/>
      <c r="G37" s="235"/>
      <c r="H37" s="235"/>
      <c r="I37" s="235"/>
      <c r="J37" s="235"/>
      <c r="K37" s="235"/>
    </row>
    <row r="38" spans="1:11">
      <c r="A38" s="461"/>
      <c r="B38" s="19" t="s">
        <v>5</v>
      </c>
      <c r="C38" s="19" t="s">
        <v>9</v>
      </c>
      <c r="D38" s="19" t="s">
        <v>7</v>
      </c>
      <c r="E38" s="19">
        <v>0.19</v>
      </c>
      <c r="F38" s="19"/>
      <c r="G38" s="235"/>
      <c r="H38" s="235"/>
      <c r="I38" s="235"/>
      <c r="J38" s="235"/>
      <c r="K38" s="235"/>
    </row>
    <row r="39" spans="1:11">
      <c r="A39" s="461"/>
      <c r="B39" s="19" t="s">
        <v>5</v>
      </c>
      <c r="C39" s="19" t="s">
        <v>9</v>
      </c>
      <c r="D39" s="19" t="s">
        <v>8</v>
      </c>
      <c r="E39" s="19">
        <v>0.34</v>
      </c>
      <c r="F39" s="19"/>
      <c r="G39" s="235"/>
      <c r="H39" s="235"/>
      <c r="I39" s="235"/>
      <c r="J39" s="235"/>
      <c r="K39" s="235"/>
    </row>
    <row r="40" spans="1:11">
      <c r="A40" s="461"/>
      <c r="B40" s="19" t="s">
        <v>5</v>
      </c>
      <c r="C40" s="19" t="s">
        <v>9</v>
      </c>
      <c r="D40" s="19" t="s">
        <v>17</v>
      </c>
      <c r="E40" s="19">
        <v>0.43</v>
      </c>
      <c r="F40" s="19"/>
      <c r="G40" s="235"/>
      <c r="H40" s="235"/>
      <c r="I40" s="235"/>
      <c r="J40" s="235"/>
      <c r="K40" s="235"/>
    </row>
    <row r="41" spans="1:11">
      <c r="A41" s="461"/>
      <c r="B41" s="19" t="s">
        <v>5</v>
      </c>
      <c r="C41" s="19" t="s">
        <v>18</v>
      </c>
      <c r="D41" s="19" t="s">
        <v>6</v>
      </c>
      <c r="E41" s="19">
        <v>0.11</v>
      </c>
      <c r="F41" s="19"/>
      <c r="G41" s="235"/>
      <c r="H41" s="235"/>
      <c r="I41" s="235"/>
      <c r="J41" s="235"/>
      <c r="K41" s="235"/>
    </row>
    <row r="42" spans="1:11">
      <c r="A42" s="461"/>
      <c r="B42" s="19" t="s">
        <v>5</v>
      </c>
      <c r="C42" s="19" t="s">
        <v>18</v>
      </c>
      <c r="D42" s="19" t="s">
        <v>7</v>
      </c>
      <c r="E42" s="19">
        <v>0.26</v>
      </c>
      <c r="F42" s="19"/>
      <c r="G42" s="235"/>
      <c r="H42" s="235"/>
      <c r="I42" s="235"/>
      <c r="J42" s="235"/>
      <c r="K42" s="235"/>
    </row>
    <row r="43" spans="1:11">
      <c r="A43" s="461"/>
      <c r="B43" s="19" t="s">
        <v>5</v>
      </c>
      <c r="C43" s="19" t="s">
        <v>18</v>
      </c>
      <c r="D43" s="19" t="s">
        <v>8</v>
      </c>
      <c r="E43" s="19">
        <v>0.43</v>
      </c>
      <c r="F43" s="19"/>
      <c r="G43" s="235"/>
      <c r="H43" s="235"/>
      <c r="I43" s="235"/>
      <c r="J43" s="235"/>
      <c r="K43" s="235"/>
    </row>
    <row r="44" spans="1:11">
      <c r="A44" s="461"/>
      <c r="B44" s="19" t="s">
        <v>5</v>
      </c>
      <c r="C44" s="19" t="s">
        <v>18</v>
      </c>
      <c r="D44" s="19" t="s">
        <v>17</v>
      </c>
      <c r="E44" s="19">
        <v>0.51</v>
      </c>
      <c r="F44" s="19"/>
      <c r="G44" s="235"/>
      <c r="H44" s="235"/>
      <c r="I44" s="235"/>
      <c r="J44" s="235"/>
      <c r="K44" s="235"/>
    </row>
    <row r="45" spans="1:11">
      <c r="A45" s="315"/>
      <c r="B45" s="19"/>
      <c r="C45" s="19"/>
      <c r="D45" s="19"/>
      <c r="E45" s="19"/>
      <c r="F45" s="237"/>
      <c r="G45" s="237"/>
      <c r="H45" s="237"/>
      <c r="I45" s="237"/>
      <c r="J45" s="235"/>
      <c r="K45" s="235"/>
    </row>
    <row r="46" spans="1:11">
      <c r="A46" s="315"/>
      <c r="B46" s="19"/>
      <c r="C46" s="19"/>
      <c r="D46" s="19"/>
      <c r="E46" s="19"/>
      <c r="F46" s="19"/>
      <c r="G46" s="19"/>
      <c r="H46" s="19"/>
      <c r="I46" s="235"/>
      <c r="J46" s="235"/>
      <c r="K46" s="235"/>
    </row>
    <row r="47" spans="1:11">
      <c r="A47" s="315"/>
      <c r="B47" s="19"/>
      <c r="C47" s="19"/>
      <c r="D47" s="19"/>
      <c r="E47" s="19"/>
      <c r="F47" s="19"/>
      <c r="G47" s="19"/>
      <c r="H47" s="19"/>
      <c r="I47" s="235"/>
      <c r="J47" s="235"/>
      <c r="K47" s="235"/>
    </row>
    <row r="48" spans="1:11">
      <c r="A48" s="315"/>
      <c r="B48" s="19"/>
      <c r="C48" s="19"/>
      <c r="D48" s="19"/>
      <c r="E48" s="19"/>
      <c r="F48" s="19"/>
      <c r="G48" s="19"/>
      <c r="H48" s="19"/>
      <c r="I48" s="235"/>
      <c r="J48" s="235"/>
      <c r="K48" s="235"/>
    </row>
    <row r="49" spans="1:11">
      <c r="A49" s="315"/>
      <c r="B49" s="19"/>
      <c r="C49" s="19"/>
      <c r="D49" s="19"/>
      <c r="E49" s="19"/>
      <c r="F49" s="19"/>
      <c r="G49" s="19"/>
      <c r="H49" s="19"/>
      <c r="I49" s="235"/>
      <c r="J49" s="235"/>
      <c r="K49" s="235"/>
    </row>
    <row r="50" spans="1:11" ht="15.75">
      <c r="A50" s="459"/>
      <c r="B50" s="239" t="s">
        <v>512</v>
      </c>
      <c r="C50" s="308" t="s">
        <v>603</v>
      </c>
      <c r="D50" s="237"/>
      <c r="E50" s="237"/>
      <c r="F50" s="19"/>
      <c r="G50" s="19"/>
      <c r="H50" s="19"/>
      <c r="I50" s="235"/>
      <c r="J50" s="235"/>
      <c r="K50" s="235"/>
    </row>
    <row r="51" spans="1:11" ht="15">
      <c r="A51" s="459"/>
      <c r="B51" s="58" t="s">
        <v>630</v>
      </c>
      <c r="C51" s="19"/>
      <c r="D51" s="19"/>
      <c r="E51" s="19"/>
      <c r="F51" s="19"/>
      <c r="G51" s="19"/>
      <c r="H51" s="19"/>
      <c r="I51" s="235"/>
      <c r="J51" s="235"/>
      <c r="K51" s="235"/>
    </row>
    <row r="52" spans="1:11" ht="15">
      <c r="A52" s="459"/>
      <c r="B52" s="58" t="s">
        <v>631</v>
      </c>
      <c r="C52" s="19"/>
      <c r="D52" s="19"/>
      <c r="E52" s="19"/>
      <c r="F52" s="19"/>
      <c r="G52" s="19"/>
      <c r="H52" s="19"/>
      <c r="I52" s="235"/>
      <c r="J52" s="235"/>
      <c r="K52" s="235"/>
    </row>
    <row r="53" spans="1:11" ht="15">
      <c r="A53" s="459"/>
      <c r="B53" s="58" t="s">
        <v>642</v>
      </c>
      <c r="C53" s="19"/>
      <c r="D53" s="19"/>
      <c r="E53" s="19"/>
      <c r="F53" s="19"/>
      <c r="G53" s="19"/>
      <c r="H53" s="19"/>
      <c r="I53" s="235"/>
      <c r="J53" s="235"/>
      <c r="K53" s="235"/>
    </row>
    <row r="54" spans="1:11" ht="15">
      <c r="A54" s="459"/>
      <c r="B54" s="58" t="s">
        <v>643</v>
      </c>
      <c r="C54" s="19"/>
      <c r="D54" s="19"/>
      <c r="E54" s="19"/>
      <c r="F54" s="19"/>
      <c r="G54" s="19"/>
      <c r="H54" s="19"/>
      <c r="I54" s="235"/>
      <c r="J54" s="235"/>
      <c r="K54" s="235"/>
    </row>
    <row r="55" spans="1:11" ht="15">
      <c r="A55" s="459"/>
      <c r="B55" s="58"/>
      <c r="C55" s="19"/>
      <c r="D55" s="19"/>
      <c r="E55" s="19"/>
      <c r="F55" s="19"/>
      <c r="G55" s="19"/>
      <c r="H55" s="19"/>
      <c r="I55" s="235"/>
      <c r="J55" s="235"/>
      <c r="K55" s="235"/>
    </row>
    <row r="56" spans="1:11" ht="15">
      <c r="A56" s="459"/>
      <c r="B56" s="304" t="s">
        <v>629</v>
      </c>
      <c r="C56" s="19"/>
      <c r="D56" s="19"/>
      <c r="E56" s="19"/>
      <c r="F56" s="19"/>
      <c r="G56" s="19"/>
      <c r="H56" s="19"/>
      <c r="I56" s="235"/>
      <c r="J56" s="235"/>
      <c r="K56" s="235"/>
    </row>
    <row r="57" spans="1:11" ht="15">
      <c r="A57" s="459"/>
      <c r="B57" s="58" t="s">
        <v>626</v>
      </c>
      <c r="C57" s="19"/>
      <c r="D57" s="19"/>
      <c r="E57" s="19"/>
      <c r="F57" s="19"/>
      <c r="G57" s="19"/>
      <c r="H57" s="19"/>
      <c r="I57" s="235"/>
      <c r="J57" s="235"/>
      <c r="K57" s="235"/>
    </row>
    <row r="58" spans="1:11" ht="15">
      <c r="A58" s="459"/>
      <c r="B58" s="58" t="s">
        <v>624</v>
      </c>
      <c r="C58" s="19"/>
      <c r="D58" s="19"/>
      <c r="E58" s="19"/>
      <c r="F58" s="19"/>
      <c r="G58" s="19"/>
      <c r="H58" s="19"/>
      <c r="I58" s="235"/>
      <c r="J58" s="235"/>
      <c r="K58" s="235"/>
    </row>
    <row r="59" spans="1:11" ht="15">
      <c r="A59" s="459"/>
      <c r="B59" s="58" t="s">
        <v>623</v>
      </c>
      <c r="C59" s="19"/>
      <c r="D59" s="19"/>
      <c r="E59" s="19"/>
      <c r="F59" s="19"/>
      <c r="G59" s="19"/>
      <c r="H59" s="19"/>
      <c r="I59" s="235"/>
      <c r="J59" s="235"/>
      <c r="K59" s="235"/>
    </row>
    <row r="60" spans="1:11" ht="15">
      <c r="A60" s="459"/>
      <c r="B60" s="58"/>
      <c r="C60" s="19"/>
      <c r="D60" s="19"/>
      <c r="E60" s="19"/>
      <c r="F60" s="19"/>
      <c r="G60" s="19"/>
      <c r="H60" s="19"/>
      <c r="I60" s="235"/>
      <c r="J60" s="235"/>
      <c r="K60" s="235"/>
    </row>
    <row r="61" spans="1:11" ht="15">
      <c r="A61" s="459"/>
      <c r="B61" s="58" t="s">
        <v>678</v>
      </c>
      <c r="C61" s="19"/>
      <c r="D61" s="19"/>
      <c r="E61" s="19"/>
      <c r="F61" s="19"/>
      <c r="G61" s="19"/>
      <c r="H61" s="19"/>
      <c r="I61" s="235"/>
      <c r="J61" s="235"/>
      <c r="K61" s="235"/>
    </row>
    <row r="62" spans="1:11">
      <c r="A62" s="459"/>
      <c r="B62" s="19"/>
      <c r="C62" s="19"/>
      <c r="D62" s="19"/>
      <c r="E62" s="19"/>
      <c r="F62" s="19"/>
      <c r="G62" s="19"/>
      <c r="H62" s="19"/>
      <c r="I62" s="235"/>
      <c r="J62" s="235"/>
      <c r="K62" s="235"/>
    </row>
    <row r="63" spans="1:11">
      <c r="A63" s="459"/>
      <c r="B63" s="19"/>
      <c r="C63" s="19"/>
      <c r="D63" s="19"/>
      <c r="E63" s="19"/>
      <c r="F63" s="19"/>
      <c r="G63" s="19"/>
      <c r="H63" s="19"/>
      <c r="I63" s="235"/>
      <c r="J63" s="235"/>
      <c r="K63" s="235"/>
    </row>
    <row r="64" spans="1:11">
      <c r="A64" s="459"/>
      <c r="B64" s="19"/>
      <c r="C64" s="19"/>
      <c r="D64" s="19"/>
      <c r="E64" s="19"/>
      <c r="F64" s="19"/>
      <c r="G64" s="19"/>
      <c r="H64" s="19"/>
      <c r="I64" s="235"/>
      <c r="J64" s="235"/>
      <c r="K64" s="235"/>
    </row>
    <row r="65" spans="1:11">
      <c r="A65" s="459"/>
      <c r="B65" s="19"/>
      <c r="C65" s="19"/>
      <c r="D65" s="19"/>
      <c r="E65" s="19"/>
      <c r="F65" s="19"/>
      <c r="G65" s="19"/>
      <c r="H65" s="19"/>
      <c r="I65" s="235"/>
      <c r="J65" s="235"/>
      <c r="K65" s="235"/>
    </row>
    <row r="66" spans="1:11">
      <c r="A66" s="459"/>
      <c r="B66" s="19"/>
      <c r="C66" s="19"/>
      <c r="D66" s="19"/>
      <c r="E66" s="19"/>
      <c r="F66" s="19"/>
      <c r="G66" s="19"/>
      <c r="H66" s="19"/>
      <c r="I66" s="235"/>
      <c r="J66" s="235"/>
      <c r="K66" s="235"/>
    </row>
    <row r="67" spans="1:11">
      <c r="A67" s="459"/>
      <c r="B67" s="19"/>
      <c r="C67" s="19"/>
      <c r="D67" s="19"/>
      <c r="E67" s="19"/>
      <c r="F67" s="19"/>
      <c r="G67" s="19"/>
      <c r="H67" s="19"/>
      <c r="I67" s="235"/>
      <c r="J67" s="235"/>
      <c r="K67" s="235"/>
    </row>
    <row r="68" spans="1:11">
      <c r="A68" s="459"/>
      <c r="B68" s="19"/>
      <c r="C68" s="19"/>
      <c r="D68" s="19"/>
      <c r="E68" s="19"/>
      <c r="F68" s="19"/>
      <c r="G68" s="19"/>
      <c r="H68" s="19"/>
      <c r="I68" s="235"/>
      <c r="J68" s="235"/>
      <c r="K68" s="235"/>
    </row>
    <row r="69" spans="1:11">
      <c r="A69" s="459"/>
      <c r="B69" s="19"/>
      <c r="C69" s="19"/>
      <c r="D69" s="19"/>
      <c r="E69" s="19"/>
      <c r="F69" s="19"/>
      <c r="G69" s="19"/>
      <c r="H69" s="19"/>
      <c r="I69" s="235"/>
      <c r="J69" s="235"/>
      <c r="K69" s="235"/>
    </row>
    <row r="70" spans="1:11">
      <c r="A70" s="459"/>
      <c r="B70" s="19"/>
      <c r="C70" s="19"/>
      <c r="D70" s="19"/>
      <c r="E70" s="19"/>
      <c r="F70" s="19"/>
      <c r="G70" s="19"/>
      <c r="H70" s="19"/>
      <c r="I70" s="235"/>
      <c r="J70" s="235"/>
      <c r="K70" s="235"/>
    </row>
    <row r="71" spans="1:11">
      <c r="A71" s="459"/>
      <c r="B71" s="19"/>
      <c r="C71" s="19"/>
      <c r="D71" s="19"/>
      <c r="E71" s="19"/>
      <c r="F71" s="19"/>
      <c r="G71" s="19"/>
      <c r="H71" s="19"/>
      <c r="I71" s="235"/>
      <c r="J71" s="235"/>
      <c r="K71" s="235"/>
    </row>
    <row r="72" spans="1:11">
      <c r="A72" s="459"/>
      <c r="B72" s="19"/>
      <c r="C72" s="19"/>
      <c r="D72" s="19"/>
      <c r="E72" s="19"/>
      <c r="F72" s="19"/>
      <c r="G72" s="19"/>
      <c r="H72" s="19"/>
      <c r="I72" s="235"/>
      <c r="J72" s="235"/>
      <c r="K72" s="235"/>
    </row>
    <row r="73" spans="1:11">
      <c r="A73" s="459"/>
      <c r="B73" s="19"/>
      <c r="C73" s="19"/>
      <c r="D73" s="19"/>
      <c r="E73" s="19"/>
      <c r="F73" s="19"/>
      <c r="G73" s="19"/>
      <c r="H73" s="19"/>
      <c r="I73" s="235"/>
      <c r="J73" s="235"/>
      <c r="K73" s="235"/>
    </row>
    <row r="74" spans="1:11">
      <c r="A74" s="459"/>
      <c r="B74" s="19"/>
      <c r="C74" s="19"/>
      <c r="D74" s="19"/>
      <c r="E74" s="19"/>
      <c r="F74" s="19"/>
      <c r="G74" s="19"/>
      <c r="H74" s="19"/>
      <c r="I74" s="235"/>
      <c r="J74" s="235"/>
      <c r="K74" s="235"/>
    </row>
    <row r="75" spans="1:11">
      <c r="A75" s="459"/>
      <c r="B75" s="19"/>
      <c r="C75" s="19"/>
      <c r="D75" s="19"/>
      <c r="E75" s="19"/>
      <c r="F75" s="19"/>
      <c r="G75" s="19"/>
      <c r="H75" s="19"/>
      <c r="I75" s="235"/>
      <c r="J75" s="235"/>
      <c r="K75" s="235"/>
    </row>
    <row r="76" spans="1:11" ht="15">
      <c r="A76" s="459"/>
      <c r="B76" s="58" t="s">
        <v>615</v>
      </c>
      <c r="C76" s="19"/>
      <c r="D76" s="19"/>
      <c r="E76" s="19"/>
      <c r="F76" s="19"/>
      <c r="G76" s="19"/>
      <c r="H76" s="19"/>
      <c r="I76" s="235"/>
      <c r="J76" s="235"/>
      <c r="K76" s="235"/>
    </row>
    <row r="77" spans="1:11">
      <c r="A77" s="459"/>
      <c r="B77" s="19"/>
      <c r="C77" s="19"/>
      <c r="D77" s="19"/>
      <c r="E77" s="19"/>
      <c r="F77" s="19"/>
      <c r="G77" s="19"/>
      <c r="H77" s="19"/>
      <c r="I77" s="235"/>
      <c r="J77" s="235"/>
      <c r="K77" s="235"/>
    </row>
    <row r="78" spans="1:11" ht="15">
      <c r="A78" s="459"/>
      <c r="B78" s="58" t="s">
        <v>618</v>
      </c>
      <c r="C78" s="19"/>
      <c r="D78" s="19"/>
      <c r="E78" s="19"/>
      <c r="F78" s="19"/>
      <c r="G78" s="19"/>
      <c r="H78" s="19"/>
      <c r="I78" s="235"/>
      <c r="J78" s="235"/>
      <c r="K78" s="235"/>
    </row>
    <row r="79" spans="1:11" ht="15">
      <c r="A79" s="459"/>
      <c r="B79" s="58" t="s">
        <v>619</v>
      </c>
      <c r="C79" s="58"/>
      <c r="D79" s="58"/>
      <c r="E79" s="19"/>
      <c r="F79" s="19"/>
      <c r="G79" s="19"/>
      <c r="H79" s="19"/>
      <c r="I79" s="235"/>
      <c r="J79" s="235"/>
      <c r="K79" s="235"/>
    </row>
    <row r="80" spans="1:11" ht="15">
      <c r="A80" s="459"/>
      <c r="B80" s="58" t="s">
        <v>679</v>
      </c>
      <c r="C80" s="58"/>
      <c r="D80" s="58"/>
      <c r="E80" s="19"/>
      <c r="F80" s="19"/>
      <c r="G80" s="19"/>
      <c r="H80" s="19"/>
      <c r="I80" s="235"/>
      <c r="J80" s="235"/>
      <c r="K80" s="235"/>
    </row>
    <row r="81" spans="1:11" ht="15">
      <c r="A81" s="459"/>
      <c r="B81" s="58" t="s">
        <v>617</v>
      </c>
      <c r="C81" s="58"/>
      <c r="D81" s="58"/>
      <c r="E81" s="19"/>
      <c r="F81" s="19"/>
      <c r="G81" s="19"/>
      <c r="H81" s="19"/>
      <c r="I81" s="235"/>
      <c r="J81" s="235"/>
      <c r="K81" s="235"/>
    </row>
    <row r="82" spans="1:11" ht="15">
      <c r="A82" s="459"/>
      <c r="B82" s="58" t="s">
        <v>616</v>
      </c>
      <c r="C82" s="58"/>
      <c r="D82" s="58"/>
      <c r="E82" s="19"/>
      <c r="F82" s="19"/>
      <c r="G82" s="19"/>
      <c r="H82" s="19"/>
      <c r="I82" s="235"/>
      <c r="J82" s="235"/>
      <c r="K82" s="235"/>
    </row>
    <row r="83" spans="1:11">
      <c r="A83" s="459"/>
      <c r="B83" s="19"/>
      <c r="C83" s="19"/>
      <c r="D83" s="19"/>
      <c r="E83" s="19"/>
      <c r="F83" s="19"/>
      <c r="G83" s="19"/>
      <c r="H83" s="19"/>
      <c r="I83" s="235"/>
      <c r="J83" s="235"/>
      <c r="K83" s="235"/>
    </row>
    <row r="84" spans="1:11" ht="15">
      <c r="A84" s="459"/>
      <c r="B84" s="314" t="s">
        <v>644</v>
      </c>
      <c r="C84" s="19"/>
      <c r="D84" s="19"/>
      <c r="E84" s="19"/>
      <c r="F84" s="19"/>
      <c r="G84" s="19"/>
      <c r="H84" s="19"/>
      <c r="I84" s="235"/>
      <c r="J84" s="235"/>
      <c r="K84" s="235"/>
    </row>
    <row r="85" spans="1:11" ht="15">
      <c r="A85" s="459"/>
      <c r="B85" s="58" t="s">
        <v>645</v>
      </c>
      <c r="C85" s="19"/>
      <c r="D85" s="19"/>
      <c r="E85" s="19"/>
      <c r="F85" s="19"/>
      <c r="G85" s="19"/>
      <c r="H85" s="19"/>
      <c r="I85" s="235"/>
      <c r="J85" s="235"/>
      <c r="K85" s="235"/>
    </row>
    <row r="86" spans="1:11" ht="15">
      <c r="A86" s="459"/>
      <c r="B86" s="58" t="s">
        <v>646</v>
      </c>
      <c r="C86" s="19"/>
      <c r="D86" s="19"/>
      <c r="E86" s="19"/>
      <c r="F86" s="19"/>
      <c r="G86" s="19"/>
      <c r="H86" s="19"/>
      <c r="I86" s="235"/>
      <c r="J86" s="235"/>
      <c r="K86" s="235"/>
    </row>
    <row r="87" spans="1:11" ht="15">
      <c r="A87" s="459"/>
      <c r="B87" s="58"/>
      <c r="C87" s="19"/>
      <c r="D87" s="19"/>
      <c r="E87" s="19"/>
      <c r="F87" s="19"/>
      <c r="G87" s="19"/>
      <c r="H87" s="19"/>
      <c r="I87" s="235"/>
      <c r="J87" s="235"/>
      <c r="K87" s="235"/>
    </row>
    <row r="88" spans="1:11" ht="15">
      <c r="A88" s="459"/>
      <c r="B88" s="58" t="s">
        <v>652</v>
      </c>
      <c r="C88" s="19"/>
      <c r="D88" s="19"/>
      <c r="E88" s="19"/>
      <c r="F88" s="19"/>
      <c r="G88" s="19"/>
      <c r="H88" s="19"/>
      <c r="I88" s="235"/>
      <c r="J88" s="235"/>
      <c r="K88" s="235"/>
    </row>
    <row r="89" spans="1:11" ht="15">
      <c r="A89" s="459"/>
      <c r="B89" s="58" t="s">
        <v>647</v>
      </c>
      <c r="C89" s="19"/>
      <c r="D89" s="19"/>
      <c r="E89" s="19"/>
      <c r="F89" s="19"/>
      <c r="G89" s="19"/>
      <c r="H89" s="19"/>
      <c r="I89" s="235"/>
      <c r="J89" s="235"/>
      <c r="K89" s="235"/>
    </row>
    <row r="90" spans="1:11" ht="15">
      <c r="A90" s="459"/>
      <c r="B90" s="58" t="s">
        <v>648</v>
      </c>
      <c r="C90" s="19"/>
      <c r="D90" s="19"/>
      <c r="E90" s="19"/>
      <c r="F90" s="19"/>
      <c r="G90" s="19"/>
      <c r="H90" s="19"/>
      <c r="I90" s="235"/>
      <c r="J90" s="235"/>
      <c r="K90" s="235"/>
    </row>
    <row r="91" spans="1:11" ht="15">
      <c r="A91" s="459"/>
      <c r="B91" s="58" t="s">
        <v>649</v>
      </c>
      <c r="C91" s="19"/>
      <c r="D91" s="19"/>
      <c r="E91" s="19"/>
      <c r="F91" s="19"/>
      <c r="G91" s="19"/>
      <c r="H91" s="19"/>
      <c r="I91" s="235"/>
      <c r="J91" s="235"/>
      <c r="K91" s="235"/>
    </row>
    <row r="92" spans="1:11" ht="15">
      <c r="A92" s="459"/>
      <c r="B92" s="58" t="s">
        <v>650</v>
      </c>
      <c r="C92" s="19"/>
      <c r="D92" s="19"/>
      <c r="E92" s="19"/>
      <c r="F92" s="19"/>
      <c r="G92" s="19"/>
      <c r="H92" s="19"/>
      <c r="I92" s="235"/>
      <c r="J92" s="235"/>
      <c r="K92" s="235"/>
    </row>
    <row r="93" spans="1:11" ht="15">
      <c r="A93" s="459"/>
      <c r="B93" s="58" t="s">
        <v>651</v>
      </c>
      <c r="C93" s="19"/>
      <c r="D93" s="19"/>
      <c r="E93" s="19"/>
      <c r="F93" s="19"/>
      <c r="G93" s="19"/>
      <c r="H93" s="19"/>
      <c r="I93" s="235"/>
      <c r="J93" s="235"/>
      <c r="K93" s="235"/>
    </row>
    <row r="94" spans="1:11" ht="15">
      <c r="A94" s="459"/>
      <c r="B94" s="58"/>
      <c r="C94" s="19"/>
      <c r="D94" s="19"/>
      <c r="E94" s="19"/>
      <c r="F94" s="19"/>
      <c r="G94" s="19"/>
      <c r="H94" s="19"/>
      <c r="I94" s="235"/>
      <c r="J94" s="235"/>
      <c r="K94" s="235"/>
    </row>
    <row r="95" spans="1:11" ht="15">
      <c r="A95" s="459"/>
      <c r="B95" s="58"/>
      <c r="C95" s="19"/>
      <c r="D95" s="19"/>
      <c r="E95" s="19"/>
      <c r="F95" s="19"/>
      <c r="G95" s="19"/>
      <c r="H95" s="19"/>
      <c r="I95" s="235"/>
      <c r="J95" s="235"/>
      <c r="K95" s="235"/>
    </row>
    <row r="96" spans="1:11" ht="15">
      <c r="A96" s="459"/>
      <c r="B96" s="58"/>
      <c r="C96" s="19"/>
      <c r="D96" s="19"/>
      <c r="E96" s="19"/>
      <c r="F96" s="19"/>
      <c r="G96" s="19"/>
      <c r="H96" s="19"/>
      <c r="I96" s="235"/>
      <c r="J96" s="235"/>
      <c r="K96" s="235"/>
    </row>
    <row r="97" spans="1:11" ht="15">
      <c r="A97" s="459"/>
      <c r="B97" s="58"/>
      <c r="C97" s="19"/>
      <c r="D97" s="19"/>
      <c r="E97" s="19"/>
      <c r="F97" s="19"/>
      <c r="G97" s="19"/>
      <c r="H97" s="19"/>
      <c r="I97" s="235"/>
      <c r="J97" s="235"/>
      <c r="K97" s="235"/>
    </row>
    <row r="98" spans="1:11" ht="15">
      <c r="A98" s="459"/>
      <c r="B98" s="58"/>
      <c r="C98" s="19"/>
      <c r="D98" s="19"/>
      <c r="E98" s="19"/>
      <c r="F98" s="19"/>
      <c r="G98" s="19"/>
      <c r="H98" s="19"/>
      <c r="I98" s="235"/>
      <c r="J98" s="235"/>
      <c r="K98" s="235"/>
    </row>
    <row r="99" spans="1:11" ht="15">
      <c r="A99" s="459"/>
      <c r="B99" s="58"/>
      <c r="C99" s="19"/>
      <c r="D99" s="19"/>
      <c r="E99" s="19"/>
      <c r="F99" s="19"/>
      <c r="G99" s="19"/>
      <c r="H99" s="19"/>
      <c r="I99" s="235"/>
      <c r="J99" s="235"/>
      <c r="K99" s="235"/>
    </row>
    <row r="100" spans="1:11" ht="15">
      <c r="A100" s="459"/>
      <c r="B100" s="58"/>
      <c r="C100" s="19"/>
      <c r="D100" s="19"/>
      <c r="E100" s="19"/>
      <c r="F100" s="19"/>
      <c r="G100" s="19"/>
      <c r="H100" s="19"/>
      <c r="I100" s="235"/>
      <c r="J100" s="235"/>
      <c r="K100" s="235"/>
    </row>
    <row r="101" spans="1:11" ht="15">
      <c r="A101" s="459"/>
      <c r="B101" s="58"/>
      <c r="C101" s="19"/>
      <c r="D101" s="19"/>
      <c r="E101" s="19"/>
      <c r="F101" s="19"/>
      <c r="G101" s="19"/>
      <c r="H101" s="19"/>
      <c r="I101" s="235"/>
      <c r="J101" s="235"/>
      <c r="K101" s="235"/>
    </row>
    <row r="102" spans="1:11" ht="15">
      <c r="A102" s="459"/>
      <c r="B102" s="58"/>
      <c r="C102" s="19"/>
      <c r="D102" s="19"/>
      <c r="E102" s="19"/>
      <c r="F102" s="19"/>
      <c r="G102" s="19"/>
      <c r="H102" s="19"/>
      <c r="I102" s="235"/>
      <c r="J102" s="235"/>
      <c r="K102" s="235"/>
    </row>
    <row r="103" spans="1:11" ht="15">
      <c r="A103" s="459"/>
      <c r="B103" s="58"/>
      <c r="C103" s="19"/>
      <c r="D103" s="19"/>
      <c r="E103" s="19"/>
      <c r="F103" s="19"/>
      <c r="G103" s="19"/>
      <c r="H103" s="19"/>
      <c r="I103" s="235"/>
      <c r="J103" s="235"/>
      <c r="K103" s="235"/>
    </row>
    <row r="104" spans="1:11" ht="15">
      <c r="A104" s="459"/>
      <c r="B104" s="58"/>
      <c r="C104" s="19"/>
      <c r="D104" s="19"/>
      <c r="E104" s="19"/>
      <c r="F104" s="19"/>
      <c r="G104" s="19"/>
      <c r="H104" s="19"/>
      <c r="I104" s="235"/>
      <c r="J104" s="235"/>
      <c r="K104" s="235"/>
    </row>
    <row r="105" spans="1:11" ht="15">
      <c r="A105" s="459"/>
      <c r="B105" s="58"/>
      <c r="C105" s="19"/>
      <c r="D105" s="19"/>
      <c r="E105" s="19"/>
      <c r="F105" s="19"/>
      <c r="G105" s="19"/>
      <c r="H105" s="19"/>
      <c r="I105" s="235"/>
      <c r="J105" s="235"/>
      <c r="K105" s="235"/>
    </row>
    <row r="106" spans="1:11" ht="15">
      <c r="A106" s="459"/>
      <c r="B106" s="58"/>
      <c r="C106" s="19"/>
      <c r="D106" s="19"/>
      <c r="E106" s="19"/>
      <c r="F106" s="19"/>
      <c r="G106" s="19"/>
      <c r="H106" s="19"/>
      <c r="I106" s="235"/>
      <c r="J106" s="235"/>
      <c r="K106" s="235"/>
    </row>
    <row r="107" spans="1:11" ht="15">
      <c r="A107" s="459"/>
      <c r="B107" s="58"/>
      <c r="C107" s="19"/>
      <c r="D107" s="19"/>
      <c r="E107" s="19"/>
      <c r="F107" s="19"/>
      <c r="G107" s="19"/>
      <c r="H107" s="19"/>
      <c r="I107" s="235"/>
      <c r="J107" s="235"/>
      <c r="K107" s="235"/>
    </row>
    <row r="108" spans="1:11" ht="15">
      <c r="A108" s="459"/>
      <c r="B108" s="58"/>
      <c r="C108" s="19"/>
      <c r="D108" s="19"/>
      <c r="E108" s="19"/>
      <c r="F108" s="19"/>
      <c r="G108" s="19"/>
      <c r="H108" s="19"/>
      <c r="I108" s="235"/>
      <c r="J108" s="235"/>
      <c r="K108" s="235"/>
    </row>
    <row r="109" spans="1:11" ht="15">
      <c r="A109" s="459"/>
      <c r="B109" s="58"/>
      <c r="C109" s="19"/>
      <c r="D109" s="19"/>
      <c r="E109" s="19"/>
      <c r="F109" s="19"/>
      <c r="G109" s="19"/>
      <c r="H109" s="19"/>
      <c r="I109" s="235"/>
      <c r="J109" s="235"/>
      <c r="K109" s="235"/>
    </row>
    <row r="110" spans="1:11" ht="15">
      <c r="A110" s="459"/>
      <c r="B110" s="58"/>
      <c r="C110" s="19"/>
      <c r="D110" s="19"/>
      <c r="E110" s="19"/>
      <c r="F110" s="19"/>
      <c r="G110" s="19"/>
      <c r="H110" s="19"/>
      <c r="I110" s="235"/>
      <c r="J110" s="235"/>
      <c r="K110" s="235"/>
    </row>
    <row r="111" spans="1:11" ht="15">
      <c r="A111" s="459"/>
      <c r="B111" s="58"/>
      <c r="C111" s="19"/>
      <c r="D111" s="19"/>
      <c r="E111" s="19"/>
      <c r="F111" s="19"/>
      <c r="G111" s="19"/>
      <c r="H111" s="19"/>
      <c r="I111" s="235"/>
      <c r="J111" s="235"/>
      <c r="K111" s="235"/>
    </row>
    <row r="112" spans="1:11" ht="15">
      <c r="A112" s="459"/>
      <c r="B112" s="58"/>
      <c r="C112" s="19"/>
      <c r="D112" s="19"/>
      <c r="E112" s="19"/>
      <c r="F112" s="19"/>
      <c r="G112" s="19"/>
      <c r="H112" s="19"/>
      <c r="I112" s="235"/>
      <c r="J112" s="235"/>
      <c r="K112" s="235"/>
    </row>
    <row r="113" spans="1:11" ht="15">
      <c r="A113" s="459"/>
      <c r="B113" s="58"/>
      <c r="C113" s="19"/>
      <c r="D113" s="19"/>
      <c r="E113" s="19"/>
      <c r="F113" s="19"/>
      <c r="G113" s="19"/>
      <c r="H113" s="19"/>
      <c r="I113" s="235"/>
      <c r="J113" s="235"/>
      <c r="K113" s="235"/>
    </row>
    <row r="114" spans="1:11" ht="15">
      <c r="A114" s="459"/>
      <c r="B114" s="58"/>
      <c r="C114" s="19"/>
      <c r="D114" s="19"/>
      <c r="E114" s="19"/>
      <c r="F114" s="19"/>
      <c r="G114" s="19"/>
      <c r="H114" s="19"/>
      <c r="I114" s="235"/>
      <c r="J114" s="235"/>
      <c r="K114" s="235"/>
    </row>
    <row r="115" spans="1:11" ht="15">
      <c r="A115" s="459"/>
      <c r="B115" s="58"/>
      <c r="C115" s="19"/>
      <c r="D115" s="19"/>
      <c r="E115" s="19"/>
      <c r="F115" s="19"/>
      <c r="G115" s="19"/>
      <c r="H115" s="19"/>
      <c r="I115" s="235"/>
      <c r="J115" s="235"/>
      <c r="K115" s="235"/>
    </row>
    <row r="116" spans="1:11" ht="15">
      <c r="A116" s="459"/>
      <c r="B116" s="58"/>
      <c r="C116" s="19"/>
      <c r="D116" s="19"/>
      <c r="E116" s="19"/>
      <c r="F116" s="19"/>
      <c r="G116" s="19"/>
      <c r="H116" s="19"/>
      <c r="I116" s="235"/>
      <c r="J116" s="235"/>
      <c r="K116" s="235"/>
    </row>
    <row r="117" spans="1:11" ht="15">
      <c r="A117" s="459"/>
      <c r="B117" s="58"/>
      <c r="C117" s="19"/>
      <c r="D117" s="19"/>
      <c r="E117" s="19"/>
      <c r="F117" s="19"/>
      <c r="G117" s="19"/>
      <c r="H117" s="19"/>
      <c r="I117" s="235"/>
      <c r="J117" s="235"/>
      <c r="K117" s="235"/>
    </row>
    <row r="118" spans="1:11" ht="15">
      <c r="A118" s="459"/>
      <c r="B118" s="58"/>
      <c r="C118" s="19"/>
      <c r="D118" s="19"/>
      <c r="E118" s="19"/>
      <c r="F118" s="19"/>
      <c r="G118" s="19"/>
      <c r="H118" s="19"/>
      <c r="I118" s="235"/>
      <c r="J118" s="235"/>
      <c r="K118" s="235"/>
    </row>
    <row r="119" spans="1:11" ht="15">
      <c r="A119" s="459"/>
      <c r="B119" s="58"/>
      <c r="C119" s="19"/>
      <c r="D119" s="19"/>
      <c r="E119" s="19"/>
      <c r="F119" s="19"/>
      <c r="G119" s="19"/>
      <c r="H119" s="19"/>
      <c r="I119" s="235"/>
      <c r="J119" s="235"/>
      <c r="K119" s="235"/>
    </row>
    <row r="120" spans="1:11" ht="15">
      <c r="A120" s="459"/>
      <c r="B120" s="58"/>
      <c r="C120" s="19"/>
      <c r="D120" s="19"/>
      <c r="E120" s="19"/>
      <c r="F120" s="19"/>
      <c r="G120" s="19"/>
      <c r="H120" s="19"/>
      <c r="I120" s="235"/>
      <c r="J120" s="235"/>
      <c r="K120" s="235"/>
    </row>
    <row r="121" spans="1:11" ht="15">
      <c r="A121" s="459"/>
      <c r="B121" s="58"/>
      <c r="C121" s="19"/>
      <c r="D121" s="19"/>
      <c r="E121" s="19"/>
      <c r="F121" s="19"/>
      <c r="G121" s="19"/>
      <c r="H121" s="19"/>
      <c r="I121" s="235"/>
      <c r="J121" s="235"/>
      <c r="K121" s="235"/>
    </row>
    <row r="122" spans="1:11" ht="15">
      <c r="A122" s="459"/>
      <c r="B122" s="58"/>
      <c r="C122" s="19"/>
      <c r="D122" s="19"/>
      <c r="E122" s="19"/>
      <c r="F122" s="19"/>
      <c r="G122" s="19"/>
      <c r="H122" s="19"/>
      <c r="I122" s="235"/>
      <c r="J122" s="235"/>
      <c r="K122" s="235"/>
    </row>
    <row r="123" spans="1:11" ht="15">
      <c r="A123" s="459"/>
      <c r="B123" s="58"/>
      <c r="C123" s="19"/>
      <c r="D123" s="19"/>
      <c r="E123" s="19"/>
      <c r="F123" s="19"/>
      <c r="G123" s="19"/>
      <c r="H123" s="19"/>
      <c r="I123" s="235"/>
      <c r="J123" s="235"/>
      <c r="K123" s="235"/>
    </row>
    <row r="124" spans="1:11" ht="15">
      <c r="A124" s="459"/>
      <c r="B124" s="58"/>
      <c r="C124" s="19"/>
      <c r="D124" s="19"/>
      <c r="E124" s="19"/>
      <c r="F124" s="19"/>
      <c r="G124" s="19"/>
      <c r="H124" s="19"/>
      <c r="I124" s="235"/>
      <c r="J124" s="235"/>
      <c r="K124" s="235"/>
    </row>
    <row r="125" spans="1:11" ht="15">
      <c r="A125" s="459"/>
      <c r="B125" s="58"/>
      <c r="C125" s="19"/>
      <c r="D125" s="19"/>
      <c r="E125" s="19"/>
      <c r="F125" s="19"/>
      <c r="G125" s="19"/>
      <c r="H125" s="19"/>
      <c r="I125" s="235"/>
      <c r="J125" s="235"/>
      <c r="K125" s="235"/>
    </row>
    <row r="126" spans="1:11" ht="15">
      <c r="A126" s="459"/>
      <c r="B126" s="58"/>
      <c r="C126" s="19"/>
      <c r="D126" s="19"/>
      <c r="E126" s="19"/>
      <c r="F126" s="19"/>
      <c r="G126" s="19"/>
      <c r="H126" s="19"/>
      <c r="I126" s="235"/>
      <c r="J126" s="235"/>
      <c r="K126" s="235"/>
    </row>
    <row r="127" spans="1:11" ht="15">
      <c r="A127" s="459"/>
      <c r="B127" s="58"/>
      <c r="C127" s="19"/>
      <c r="D127" s="19"/>
      <c r="E127" s="19"/>
      <c r="F127" s="19"/>
      <c r="G127" s="19"/>
      <c r="H127" s="19"/>
      <c r="I127" s="235"/>
      <c r="J127" s="235"/>
      <c r="K127" s="235"/>
    </row>
    <row r="128" spans="1:11" ht="15">
      <c r="A128" s="459"/>
      <c r="B128" s="58"/>
      <c r="C128" s="19"/>
      <c r="D128" s="19"/>
      <c r="E128" s="19"/>
      <c r="F128" s="19"/>
      <c r="G128" s="19"/>
      <c r="H128" s="19"/>
      <c r="I128" s="235"/>
      <c r="J128" s="235"/>
      <c r="K128" s="235"/>
    </row>
    <row r="129" spans="1:11" ht="15">
      <c r="A129" s="459"/>
      <c r="B129" s="58"/>
      <c r="C129" s="19"/>
      <c r="D129" s="19"/>
      <c r="E129" s="19"/>
      <c r="F129" s="19"/>
      <c r="G129" s="19"/>
      <c r="H129" s="19"/>
      <c r="I129" s="235"/>
      <c r="J129" s="235"/>
      <c r="K129" s="235"/>
    </row>
    <row r="130" spans="1:11" ht="15">
      <c r="A130" s="459"/>
      <c r="B130" s="58"/>
      <c r="C130" s="19"/>
      <c r="D130" s="19"/>
      <c r="E130" s="19"/>
      <c r="F130" s="19"/>
      <c r="G130" s="19"/>
      <c r="H130" s="19"/>
      <c r="I130" s="235"/>
      <c r="J130" s="235"/>
      <c r="K130" s="235"/>
    </row>
    <row r="131" spans="1:11" ht="15">
      <c r="A131" s="459"/>
      <c r="B131" s="58"/>
      <c r="C131" s="19"/>
      <c r="D131" s="19"/>
      <c r="E131" s="19"/>
      <c r="F131" s="19"/>
      <c r="G131" s="19"/>
      <c r="H131" s="19"/>
      <c r="I131" s="235"/>
      <c r="J131" s="235"/>
      <c r="K131" s="235"/>
    </row>
    <row r="132" spans="1:11" ht="15">
      <c r="A132" s="459"/>
      <c r="B132" s="58"/>
      <c r="C132" s="19"/>
      <c r="D132" s="19"/>
      <c r="E132" s="19"/>
      <c r="F132" s="19"/>
      <c r="G132" s="19"/>
      <c r="H132" s="19"/>
      <c r="I132" s="235"/>
      <c r="J132" s="235"/>
      <c r="K132" s="235"/>
    </row>
    <row r="133" spans="1:11" ht="15">
      <c r="A133" s="459"/>
      <c r="B133" s="58"/>
      <c r="C133" s="19"/>
      <c r="D133" s="19"/>
      <c r="E133" s="19"/>
      <c r="F133" s="19"/>
      <c r="G133" s="19"/>
      <c r="H133" s="19"/>
      <c r="I133" s="235"/>
      <c r="J133" s="235"/>
      <c r="K133" s="235"/>
    </row>
    <row r="134" spans="1:11" ht="15">
      <c r="A134" s="459"/>
      <c r="B134" s="58"/>
      <c r="C134" s="19"/>
      <c r="D134" s="19"/>
      <c r="E134" s="19"/>
      <c r="F134" s="19"/>
      <c r="G134" s="19"/>
      <c r="H134" s="19"/>
      <c r="I134" s="235"/>
      <c r="J134" s="235"/>
      <c r="K134" s="235"/>
    </row>
    <row r="135" spans="1:11" ht="15">
      <c r="A135" s="459"/>
      <c r="B135" s="58"/>
      <c r="C135" s="19"/>
      <c r="D135" s="19"/>
      <c r="E135" s="19"/>
      <c r="F135" s="19"/>
      <c r="G135" s="19"/>
      <c r="H135" s="19"/>
      <c r="I135" s="235"/>
      <c r="J135" s="235"/>
      <c r="K135" s="235"/>
    </row>
    <row r="136" spans="1:11" ht="15">
      <c r="A136" s="459"/>
      <c r="B136" s="58"/>
      <c r="C136" s="19"/>
      <c r="D136" s="19"/>
      <c r="E136" s="19"/>
      <c r="F136" s="19"/>
      <c r="G136" s="19"/>
      <c r="H136" s="19"/>
      <c r="I136" s="235"/>
      <c r="J136" s="235"/>
      <c r="K136" s="235"/>
    </row>
    <row r="137" spans="1:11" ht="15">
      <c r="A137" s="459"/>
      <c r="B137" s="58"/>
      <c r="C137" s="19"/>
      <c r="D137" s="19"/>
      <c r="E137" s="19"/>
      <c r="F137" s="19"/>
      <c r="G137" s="19"/>
      <c r="H137" s="19"/>
      <c r="I137" s="235"/>
      <c r="J137" s="235"/>
      <c r="K137" s="235"/>
    </row>
    <row r="138" spans="1:11" ht="15">
      <c r="A138" s="459"/>
      <c r="B138" s="58"/>
      <c r="C138" s="19"/>
      <c r="D138" s="19"/>
      <c r="E138" s="19"/>
      <c r="F138" s="19"/>
      <c r="G138" s="19"/>
      <c r="H138" s="19"/>
      <c r="I138" s="235"/>
      <c r="J138" s="235"/>
      <c r="K138" s="235"/>
    </row>
    <row r="139" spans="1:11" ht="15.75">
      <c r="A139" s="459"/>
      <c r="B139" s="239" t="s">
        <v>620</v>
      </c>
      <c r="C139" s="58"/>
      <c r="D139" s="58"/>
      <c r="E139" s="58"/>
      <c r="F139" s="58"/>
      <c r="G139" s="58"/>
      <c r="H139" s="19"/>
      <c r="I139" s="235"/>
      <c r="J139" s="235"/>
      <c r="K139" s="235"/>
    </row>
    <row r="140" spans="1:11" ht="15">
      <c r="A140" s="459"/>
      <c r="B140" s="460" t="s">
        <v>621</v>
      </c>
      <c r="C140" s="460"/>
      <c r="D140" s="58"/>
      <c r="E140" s="58"/>
      <c r="F140" s="58"/>
      <c r="G140" s="58"/>
      <c r="H140" s="19"/>
      <c r="I140" s="235"/>
      <c r="J140" s="235"/>
      <c r="K140" s="235"/>
    </row>
    <row r="141" spans="1:11" ht="15">
      <c r="A141" s="459"/>
      <c r="B141" s="58" t="s">
        <v>622</v>
      </c>
      <c r="C141" s="58"/>
      <c r="D141" s="58"/>
      <c r="E141" s="58"/>
      <c r="F141" s="58"/>
      <c r="G141" s="58"/>
      <c r="H141" s="19"/>
      <c r="I141" s="235"/>
      <c r="J141" s="235"/>
      <c r="K141" s="235"/>
    </row>
    <row r="142" spans="1:11" ht="15">
      <c r="A142" s="459"/>
      <c r="B142" s="58" t="s">
        <v>680</v>
      </c>
      <c r="C142" s="58"/>
      <c r="D142" s="58"/>
      <c r="E142" s="58"/>
      <c r="F142" s="58"/>
      <c r="G142" s="58"/>
      <c r="H142" s="19"/>
      <c r="I142" s="235"/>
      <c r="J142" s="235"/>
      <c r="K142" s="235"/>
    </row>
    <row r="143" spans="1:11" ht="15">
      <c r="A143" s="459"/>
      <c r="B143" s="58"/>
      <c r="C143" s="58"/>
      <c r="D143" s="58"/>
      <c r="E143" s="58"/>
      <c r="F143" s="58"/>
      <c r="G143" s="58"/>
      <c r="H143" s="19"/>
      <c r="I143" s="235"/>
      <c r="J143" s="235"/>
      <c r="K143" s="235"/>
    </row>
    <row r="144" spans="1:11" ht="15">
      <c r="A144" s="459"/>
      <c r="B144" s="58"/>
      <c r="C144" s="58"/>
      <c r="D144" s="58"/>
      <c r="E144" s="58"/>
      <c r="F144" s="58"/>
      <c r="G144" s="58"/>
      <c r="H144" s="19"/>
      <c r="I144" s="235"/>
      <c r="J144" s="235"/>
      <c r="K144" s="235"/>
    </row>
    <row r="145" spans="1:11" ht="15">
      <c r="A145" s="459"/>
      <c r="B145" s="58"/>
      <c r="C145" s="58"/>
      <c r="D145" s="58"/>
      <c r="E145" s="58"/>
      <c r="F145" s="58"/>
      <c r="G145" s="58"/>
      <c r="H145" s="19"/>
      <c r="I145" s="235"/>
      <c r="J145" s="235"/>
      <c r="K145" s="235"/>
    </row>
    <row r="146" spans="1:11" ht="15">
      <c r="A146" s="459"/>
      <c r="B146" s="58"/>
      <c r="C146" s="58"/>
      <c r="D146" s="58"/>
      <c r="E146" s="58"/>
      <c r="F146" s="58"/>
      <c r="G146" s="58"/>
      <c r="H146" s="19"/>
      <c r="I146" s="235"/>
      <c r="J146" s="235"/>
      <c r="K146" s="235"/>
    </row>
    <row r="147" spans="1:11" ht="15">
      <c r="A147" s="459"/>
      <c r="B147" s="58"/>
      <c r="C147" s="58"/>
      <c r="D147" s="58"/>
      <c r="E147" s="58"/>
      <c r="F147" s="58"/>
      <c r="G147" s="58"/>
      <c r="H147" s="19"/>
      <c r="I147" s="235"/>
      <c r="J147" s="235"/>
      <c r="K147" s="235"/>
    </row>
    <row r="148" spans="1:11" ht="15">
      <c r="A148" s="459"/>
      <c r="B148" s="58"/>
      <c r="C148" s="58"/>
      <c r="D148" s="58"/>
      <c r="E148" s="58"/>
      <c r="F148" s="58"/>
      <c r="G148" s="58"/>
      <c r="H148" s="19"/>
      <c r="I148" s="235"/>
      <c r="J148" s="235"/>
      <c r="K148" s="235"/>
    </row>
    <row r="149" spans="1:11" ht="15">
      <c r="A149" s="459"/>
      <c r="B149" s="58"/>
      <c r="C149" s="58"/>
      <c r="D149" s="58"/>
      <c r="E149" s="58"/>
      <c r="F149" s="58"/>
      <c r="G149" s="58"/>
      <c r="H149" s="19"/>
      <c r="I149" s="235"/>
      <c r="J149" s="235"/>
      <c r="K149" s="235"/>
    </row>
    <row r="150" spans="1:11" ht="15">
      <c r="A150" s="459"/>
      <c r="B150" s="58"/>
      <c r="C150" s="58"/>
      <c r="D150" s="58"/>
      <c r="E150" s="58"/>
      <c r="F150" s="58"/>
      <c r="G150" s="58"/>
      <c r="H150" s="19"/>
      <c r="I150" s="235"/>
      <c r="J150" s="235"/>
      <c r="K150" s="235"/>
    </row>
    <row r="151" spans="1:11" ht="15">
      <c r="A151" s="459"/>
      <c r="B151" s="58"/>
      <c r="C151" s="58"/>
      <c r="D151" s="58"/>
      <c r="E151" s="58"/>
      <c r="F151" s="58"/>
      <c r="G151" s="58"/>
      <c r="H151" s="19"/>
      <c r="I151" s="235"/>
      <c r="J151" s="235"/>
      <c r="K151" s="235"/>
    </row>
    <row r="152" spans="1:11" ht="15">
      <c r="A152" s="459"/>
      <c r="B152" s="58"/>
      <c r="C152" s="58"/>
      <c r="D152" s="58"/>
      <c r="E152" s="58"/>
      <c r="F152" s="58"/>
      <c r="G152" s="58"/>
      <c r="H152" s="19"/>
      <c r="I152" s="235"/>
      <c r="J152" s="235"/>
      <c r="K152" s="235"/>
    </row>
    <row r="153" spans="1:11" ht="15">
      <c r="A153" s="459"/>
      <c r="B153" s="58"/>
      <c r="C153" s="58"/>
      <c r="D153" s="58"/>
      <c r="E153" s="58"/>
      <c r="F153" s="58"/>
      <c r="G153" s="58"/>
      <c r="H153" s="19"/>
      <c r="I153" s="235"/>
      <c r="J153" s="235"/>
      <c r="K153" s="235"/>
    </row>
    <row r="154" spans="1:11" ht="15">
      <c r="A154" s="459"/>
      <c r="B154" s="58"/>
      <c r="C154" s="58"/>
      <c r="D154" s="58"/>
      <c r="E154" s="58"/>
      <c r="F154" s="58"/>
      <c r="G154" s="58"/>
      <c r="H154" s="19"/>
      <c r="I154" s="235"/>
      <c r="J154" s="235"/>
      <c r="K154" s="235"/>
    </row>
    <row r="155" spans="1:11" ht="15">
      <c r="A155" s="459"/>
      <c r="B155" s="58"/>
      <c r="C155" s="58"/>
      <c r="D155" s="58"/>
      <c r="E155" s="58"/>
      <c r="F155" s="58"/>
      <c r="G155" s="58"/>
      <c r="H155" s="19"/>
      <c r="I155" s="235"/>
      <c r="J155" s="235"/>
      <c r="K155" s="235"/>
    </row>
    <row r="156" spans="1:11" ht="15">
      <c r="A156" s="459"/>
      <c r="B156" s="58"/>
      <c r="C156" s="58"/>
      <c r="D156" s="58"/>
      <c r="E156" s="58"/>
      <c r="F156" s="58"/>
      <c r="G156" s="58"/>
      <c r="H156" s="19"/>
      <c r="I156" s="235"/>
      <c r="J156" s="235"/>
      <c r="K156" s="235"/>
    </row>
    <row r="157" spans="1:11" ht="15">
      <c r="A157" s="459"/>
      <c r="B157" s="58"/>
      <c r="C157" s="58"/>
      <c r="D157" s="58"/>
      <c r="E157" s="58"/>
      <c r="F157" s="58"/>
      <c r="G157" s="58"/>
      <c r="H157" s="19"/>
      <c r="I157" s="235"/>
      <c r="J157" s="235"/>
      <c r="K157" s="235"/>
    </row>
    <row r="158" spans="1:11" ht="15">
      <c r="A158" s="459"/>
      <c r="B158" s="58"/>
      <c r="C158" s="58"/>
      <c r="D158" s="58"/>
      <c r="E158" s="58"/>
      <c r="F158" s="58"/>
      <c r="G158" s="58"/>
      <c r="H158" s="19"/>
      <c r="I158" s="235"/>
      <c r="J158" s="235"/>
      <c r="K158" s="235"/>
    </row>
    <row r="159" spans="1:11" ht="15">
      <c r="A159" s="459"/>
      <c r="B159" s="58"/>
      <c r="C159" s="58"/>
      <c r="D159" s="58"/>
      <c r="E159" s="58"/>
      <c r="F159" s="58"/>
      <c r="G159" s="58"/>
      <c r="H159" s="19"/>
      <c r="I159" s="235"/>
      <c r="J159" s="235"/>
      <c r="K159" s="235"/>
    </row>
    <row r="160" spans="1:11" ht="15">
      <c r="A160" s="459"/>
      <c r="B160" s="58"/>
      <c r="C160" s="58"/>
      <c r="D160" s="58"/>
      <c r="E160" s="58"/>
      <c r="F160" s="58"/>
      <c r="G160" s="58"/>
      <c r="H160" s="19"/>
      <c r="I160" s="235"/>
      <c r="J160" s="235"/>
      <c r="K160" s="235"/>
    </row>
    <row r="161" spans="1:11" ht="15">
      <c r="A161" s="459"/>
      <c r="B161" s="58"/>
      <c r="C161" s="58"/>
      <c r="D161" s="58"/>
      <c r="E161" s="58"/>
      <c r="F161" s="58"/>
      <c r="G161" s="58"/>
      <c r="H161" s="19"/>
      <c r="I161" s="235"/>
      <c r="J161" s="235"/>
      <c r="K161" s="235"/>
    </row>
    <row r="162" spans="1:11" ht="15">
      <c r="A162" s="459"/>
      <c r="B162" s="58"/>
      <c r="C162" s="58"/>
      <c r="D162" s="58"/>
      <c r="E162" s="58"/>
      <c r="F162" s="58"/>
      <c r="G162" s="58"/>
      <c r="H162" s="19"/>
      <c r="I162" s="235"/>
      <c r="J162" s="235"/>
      <c r="K162" s="235"/>
    </row>
    <row r="163" spans="1:11" ht="15">
      <c r="A163" s="459"/>
      <c r="B163" s="58"/>
      <c r="C163" s="58"/>
      <c r="D163" s="58"/>
      <c r="E163" s="58"/>
      <c r="F163" s="58"/>
      <c r="G163" s="58"/>
      <c r="H163" s="19"/>
      <c r="I163" s="235"/>
      <c r="J163" s="235"/>
      <c r="K163" s="235"/>
    </row>
    <row r="164" spans="1:11" ht="15">
      <c r="A164" s="459"/>
      <c r="B164" s="58"/>
      <c r="C164" s="58"/>
      <c r="D164" s="58"/>
      <c r="E164" s="58"/>
      <c r="F164" s="58"/>
      <c r="G164" s="58"/>
      <c r="H164" s="19"/>
      <c r="I164" s="235"/>
      <c r="J164" s="235"/>
      <c r="K164" s="235"/>
    </row>
    <row r="165" spans="1:11" ht="15">
      <c r="A165" s="459"/>
      <c r="B165" s="58"/>
      <c r="C165" s="58"/>
      <c r="D165" s="58"/>
      <c r="E165" s="58"/>
      <c r="F165" s="58"/>
      <c r="G165" s="58"/>
      <c r="H165" s="19"/>
      <c r="I165" s="235"/>
      <c r="J165" s="235"/>
      <c r="K165" s="235"/>
    </row>
    <row r="166" spans="1:11" ht="15">
      <c r="A166" s="459"/>
      <c r="B166" s="58"/>
      <c r="C166" s="58"/>
      <c r="D166" s="58"/>
      <c r="E166" s="58"/>
      <c r="F166" s="58"/>
      <c r="G166" s="58"/>
      <c r="H166" s="19"/>
      <c r="I166" s="235"/>
      <c r="J166" s="235"/>
      <c r="K166" s="235"/>
    </row>
    <row r="167" spans="1:11" ht="15">
      <c r="A167" s="459"/>
      <c r="B167" s="58"/>
      <c r="C167" s="58"/>
      <c r="D167" s="58"/>
      <c r="E167" s="58"/>
      <c r="F167" s="58"/>
      <c r="G167" s="58"/>
      <c r="H167" s="19"/>
      <c r="I167" s="235"/>
      <c r="J167" s="235"/>
      <c r="K167" s="235"/>
    </row>
    <row r="168" spans="1:11" ht="15">
      <c r="A168" s="459"/>
      <c r="B168" s="58" t="s">
        <v>681</v>
      </c>
      <c r="C168" s="58"/>
      <c r="D168" s="58"/>
      <c r="E168" s="58"/>
      <c r="F168" s="58"/>
      <c r="G168" s="58"/>
      <c r="H168" s="19"/>
      <c r="I168" s="235"/>
      <c r="J168" s="235"/>
      <c r="K168" s="235"/>
    </row>
    <row r="169" spans="1:11" ht="27" customHeight="1">
      <c r="A169" s="459"/>
      <c r="B169" s="58" t="s">
        <v>682</v>
      </c>
      <c r="C169" s="58"/>
      <c r="D169" s="58"/>
      <c r="E169" s="58"/>
      <c r="F169" s="58"/>
      <c r="G169" s="58"/>
      <c r="H169" s="19"/>
      <c r="I169" s="235"/>
      <c r="J169" s="235"/>
      <c r="K169" s="235"/>
    </row>
    <row r="170" spans="1:11" ht="30.75" customHeight="1">
      <c r="A170" s="459"/>
      <c r="B170" s="58" t="s">
        <v>683</v>
      </c>
      <c r="C170" s="58"/>
      <c r="D170" s="58"/>
      <c r="E170" s="58"/>
      <c r="F170" s="58"/>
      <c r="G170" s="58"/>
      <c r="H170" s="19"/>
      <c r="I170" s="235"/>
      <c r="J170" s="235"/>
      <c r="K170" s="235"/>
    </row>
    <row r="171" spans="1:11" ht="15">
      <c r="A171" s="459"/>
      <c r="B171" s="58"/>
      <c r="C171" s="58"/>
      <c r="D171" s="58"/>
      <c r="E171" s="58"/>
      <c r="F171" s="58"/>
      <c r="G171" s="58"/>
      <c r="H171" s="19"/>
      <c r="I171" s="235"/>
      <c r="J171" s="235"/>
      <c r="K171" s="235"/>
    </row>
    <row r="172" spans="1:11" ht="15">
      <c r="A172" s="459"/>
      <c r="B172" s="58" t="s">
        <v>625</v>
      </c>
      <c r="C172" s="58"/>
      <c r="D172" s="58"/>
      <c r="E172" s="58"/>
      <c r="F172" s="58"/>
      <c r="G172" s="58"/>
      <c r="H172" s="19"/>
      <c r="I172" s="235"/>
      <c r="J172" s="235"/>
      <c r="K172" s="235"/>
    </row>
    <row r="173" spans="1:11" ht="15">
      <c r="A173" s="459"/>
      <c r="B173" s="58" t="s">
        <v>628</v>
      </c>
      <c r="C173" s="58"/>
      <c r="D173" s="58"/>
      <c r="E173" s="58"/>
      <c r="F173" s="58"/>
      <c r="G173" s="58"/>
      <c r="H173" s="19"/>
      <c r="I173" s="235"/>
      <c r="J173" s="235"/>
      <c r="K173" s="235"/>
    </row>
    <row r="174" spans="1:11" ht="15">
      <c r="A174" s="459"/>
      <c r="B174" s="58"/>
      <c r="C174" s="58"/>
      <c r="D174" s="58"/>
      <c r="E174" s="58"/>
      <c r="F174" s="58"/>
      <c r="G174" s="58"/>
      <c r="H174" s="19"/>
      <c r="I174" s="235"/>
      <c r="J174" s="235"/>
      <c r="K174" s="235"/>
    </row>
    <row r="175" spans="1:11" ht="18.75">
      <c r="A175" s="459"/>
      <c r="B175" s="239" t="s">
        <v>519</v>
      </c>
      <c r="C175" s="308" t="s">
        <v>588</v>
      </c>
      <c r="D175" s="237"/>
      <c r="E175" s="237"/>
      <c r="F175" s="237"/>
      <c r="G175" s="237"/>
      <c r="H175" s="237"/>
      <c r="I175" s="237"/>
      <c r="J175" s="237"/>
      <c r="K175" s="237"/>
    </row>
    <row r="176" spans="1:11" ht="15.75">
      <c r="A176" s="459"/>
      <c r="B176" s="238"/>
      <c r="C176" s="309"/>
      <c r="D176" s="237"/>
      <c r="E176" s="237"/>
      <c r="F176" s="237"/>
      <c r="G176" s="237"/>
      <c r="H176" s="237"/>
      <c r="I176" s="237"/>
      <c r="J176" s="237"/>
      <c r="K176" s="237"/>
    </row>
    <row r="177" spans="1:11" ht="15">
      <c r="A177" s="459"/>
      <c r="B177" s="258" t="s">
        <v>684</v>
      </c>
      <c r="C177" s="237"/>
      <c r="D177" s="237"/>
      <c r="E177" s="237"/>
      <c r="F177" s="237"/>
      <c r="G177" s="237"/>
      <c r="H177" s="237"/>
      <c r="I177" s="237"/>
      <c r="J177" s="237"/>
      <c r="K177" s="237"/>
    </row>
    <row r="178" spans="1:11">
      <c r="A178" s="459"/>
      <c r="B178" s="310"/>
      <c r="C178" s="237"/>
      <c r="D178" s="237"/>
      <c r="E178" s="237"/>
      <c r="F178" s="237"/>
      <c r="G178" s="237"/>
      <c r="H178" s="237"/>
      <c r="I178" s="237"/>
      <c r="J178" s="237"/>
      <c r="K178" s="237"/>
    </row>
    <row r="179" spans="1:11">
      <c r="A179" s="459"/>
      <c r="B179" s="310"/>
      <c r="C179" s="237"/>
      <c r="D179" s="237"/>
      <c r="E179" s="237"/>
      <c r="F179" s="237"/>
      <c r="G179" s="237"/>
      <c r="H179" s="237"/>
      <c r="I179" s="237"/>
      <c r="J179" s="237"/>
      <c r="K179" s="237"/>
    </row>
    <row r="180" spans="1:11">
      <c r="A180" s="459"/>
      <c r="B180" s="310"/>
      <c r="C180" s="237"/>
      <c r="D180" s="237"/>
      <c r="E180" s="237"/>
      <c r="F180" s="237"/>
      <c r="G180" s="237"/>
      <c r="H180" s="237"/>
      <c r="I180" s="237"/>
      <c r="J180" s="237"/>
      <c r="K180" s="237"/>
    </row>
    <row r="181" spans="1:11">
      <c r="A181" s="459"/>
      <c r="B181" s="310"/>
      <c r="C181" s="237"/>
      <c r="D181" s="237"/>
      <c r="E181" s="237"/>
      <c r="F181" s="237"/>
      <c r="G181" s="237"/>
      <c r="H181" s="237"/>
      <c r="I181" s="237"/>
      <c r="J181" s="237"/>
      <c r="K181" s="237"/>
    </row>
    <row r="182" spans="1:11">
      <c r="A182" s="459"/>
      <c r="B182" s="310"/>
      <c r="C182" s="237"/>
      <c r="D182" s="237"/>
      <c r="E182" s="237"/>
      <c r="F182" s="237"/>
      <c r="G182" s="237"/>
      <c r="H182" s="237"/>
      <c r="I182" s="237"/>
      <c r="J182" s="237"/>
      <c r="K182" s="237"/>
    </row>
    <row r="183" spans="1:11">
      <c r="A183" s="459"/>
      <c r="B183" s="310"/>
      <c r="C183" s="237"/>
      <c r="D183" s="237"/>
      <c r="E183" s="237"/>
      <c r="F183" s="237"/>
      <c r="G183" s="237"/>
      <c r="H183" s="237"/>
      <c r="I183" s="237"/>
      <c r="J183" s="237"/>
      <c r="K183" s="237"/>
    </row>
    <row r="184" spans="1:11">
      <c r="A184" s="459"/>
      <c r="B184" s="310"/>
      <c r="C184" s="237"/>
      <c r="D184" s="237"/>
      <c r="E184" s="237"/>
      <c r="F184" s="237"/>
      <c r="G184" s="237"/>
      <c r="H184" s="237"/>
      <c r="I184" s="237"/>
      <c r="J184" s="237"/>
      <c r="K184" s="237"/>
    </row>
    <row r="185" spans="1:11">
      <c r="A185" s="459"/>
      <c r="B185" s="310"/>
      <c r="C185" s="237"/>
      <c r="D185" s="237"/>
      <c r="E185" s="237"/>
      <c r="F185" s="237"/>
      <c r="G185" s="237"/>
      <c r="H185" s="237"/>
      <c r="I185" s="237"/>
      <c r="J185" s="237"/>
      <c r="K185" s="237"/>
    </row>
    <row r="186" spans="1:11">
      <c r="A186" s="459"/>
      <c r="B186" s="310"/>
      <c r="C186" s="237"/>
      <c r="D186" s="237"/>
      <c r="E186" s="237"/>
      <c r="F186" s="237"/>
      <c r="G186" s="237"/>
      <c r="H186" s="237"/>
      <c r="I186" s="237"/>
      <c r="J186" s="237"/>
      <c r="K186" s="237"/>
    </row>
    <row r="187" spans="1:11">
      <c r="A187" s="459"/>
      <c r="B187" s="310"/>
      <c r="C187" s="237"/>
      <c r="D187" s="237"/>
      <c r="E187" s="237"/>
      <c r="F187" s="237"/>
      <c r="G187" s="237"/>
      <c r="H187" s="237"/>
      <c r="I187" s="237"/>
      <c r="J187" s="237"/>
      <c r="K187" s="237"/>
    </row>
    <row r="188" spans="1:11">
      <c r="A188" s="459"/>
      <c r="B188" s="310"/>
      <c r="C188" s="237"/>
      <c r="D188" s="237"/>
      <c r="E188" s="237"/>
      <c r="F188" s="237"/>
      <c r="G188" s="237"/>
      <c r="H188" s="237"/>
      <c r="I188" s="237"/>
      <c r="J188" s="237"/>
      <c r="K188" s="237"/>
    </row>
    <row r="189" spans="1:11">
      <c r="A189" s="459"/>
      <c r="B189" s="310"/>
      <c r="C189" s="237"/>
      <c r="D189" s="237"/>
      <c r="E189" s="237"/>
      <c r="F189" s="237"/>
      <c r="G189" s="237"/>
      <c r="H189" s="237"/>
      <c r="I189" s="237"/>
      <c r="J189" s="237"/>
      <c r="K189" s="237"/>
    </row>
    <row r="190" spans="1:11">
      <c r="A190" s="459"/>
      <c r="B190" s="310"/>
      <c r="C190" s="237"/>
      <c r="D190" s="237"/>
      <c r="E190" s="237"/>
      <c r="F190" s="237"/>
      <c r="G190" s="237"/>
      <c r="H190" s="237"/>
      <c r="I190" s="237"/>
      <c r="J190" s="237"/>
      <c r="K190" s="237"/>
    </row>
    <row r="191" spans="1:11">
      <c r="A191" s="459"/>
      <c r="B191" s="310"/>
      <c r="C191" s="237"/>
      <c r="D191" s="237"/>
      <c r="E191" s="237"/>
      <c r="F191" s="237"/>
      <c r="G191" s="237"/>
      <c r="H191" s="237"/>
      <c r="I191" s="237"/>
      <c r="J191" s="237"/>
      <c r="K191" s="237"/>
    </row>
    <row r="192" spans="1:11">
      <c r="A192" s="459"/>
      <c r="B192" s="310"/>
      <c r="C192" s="237"/>
      <c r="D192" s="237"/>
      <c r="E192" s="237"/>
      <c r="F192" s="237"/>
      <c r="G192" s="237"/>
      <c r="H192" s="237"/>
      <c r="I192" s="237"/>
      <c r="J192" s="237"/>
      <c r="K192" s="237"/>
    </row>
    <row r="193" spans="1:11">
      <c r="A193" s="459"/>
      <c r="B193" s="310"/>
      <c r="C193" s="237"/>
      <c r="D193" s="237"/>
      <c r="E193" s="237"/>
      <c r="F193" s="237"/>
      <c r="G193" s="237"/>
      <c r="H193" s="237"/>
      <c r="I193" s="237"/>
      <c r="J193" s="237"/>
      <c r="K193" s="237"/>
    </row>
    <row r="194" spans="1:11">
      <c r="A194" s="459"/>
      <c r="B194" s="310"/>
      <c r="C194" s="237"/>
      <c r="D194" s="237"/>
      <c r="E194" s="237"/>
      <c r="F194" s="237"/>
      <c r="G194" s="237"/>
      <c r="H194" s="237"/>
      <c r="I194" s="237"/>
      <c r="J194" s="237"/>
      <c r="K194" s="237"/>
    </row>
    <row r="195" spans="1:11">
      <c r="A195" s="459"/>
      <c r="B195" s="310"/>
      <c r="C195" s="237"/>
      <c r="D195" s="237"/>
      <c r="E195" s="237"/>
      <c r="F195" s="237"/>
      <c r="G195" s="237"/>
      <c r="H195" s="237"/>
      <c r="I195" s="237"/>
      <c r="J195" s="237"/>
      <c r="K195" s="237"/>
    </row>
    <row r="196" spans="1:11">
      <c r="A196" s="459"/>
      <c r="B196" s="310"/>
      <c r="C196" s="237"/>
      <c r="D196" s="237"/>
      <c r="E196" s="237"/>
      <c r="F196" s="237"/>
      <c r="G196" s="237"/>
      <c r="H196" s="237"/>
      <c r="I196" s="237"/>
      <c r="J196" s="237"/>
      <c r="K196" s="237"/>
    </row>
    <row r="197" spans="1:11">
      <c r="A197" s="459"/>
      <c r="B197" s="310"/>
      <c r="C197" s="237"/>
      <c r="D197" s="237"/>
      <c r="E197" s="237"/>
      <c r="F197" s="237"/>
      <c r="G197" s="237"/>
      <c r="H197" s="237"/>
      <c r="I197" s="237"/>
      <c r="J197" s="237"/>
      <c r="K197" s="237"/>
    </row>
    <row r="198" spans="1:11">
      <c r="A198" s="459"/>
      <c r="B198" s="310"/>
      <c r="C198" s="237"/>
      <c r="D198" s="237"/>
      <c r="E198" s="237"/>
      <c r="F198" s="237"/>
      <c r="G198" s="237"/>
      <c r="H198" s="237"/>
      <c r="I198" s="237"/>
      <c r="J198" s="237"/>
      <c r="K198" s="237"/>
    </row>
    <row r="199" spans="1:11">
      <c r="A199" s="459"/>
      <c r="B199" s="310"/>
      <c r="C199" s="237"/>
      <c r="D199" s="237"/>
      <c r="E199" s="237"/>
      <c r="F199" s="237"/>
      <c r="G199" s="237"/>
      <c r="H199" s="237"/>
      <c r="I199" s="237"/>
      <c r="J199" s="237"/>
      <c r="K199" s="237"/>
    </row>
    <row r="200" spans="1:11">
      <c r="A200" s="459"/>
      <c r="B200" s="310"/>
      <c r="C200" s="237"/>
      <c r="D200" s="237"/>
      <c r="E200" s="237"/>
      <c r="F200" s="237"/>
      <c r="G200" s="237"/>
      <c r="H200" s="237"/>
      <c r="I200" s="237"/>
      <c r="J200" s="237"/>
      <c r="K200" s="237"/>
    </row>
    <row r="201" spans="1:11">
      <c r="A201" s="459"/>
      <c r="B201" s="310"/>
      <c r="C201" s="237"/>
      <c r="D201" s="237"/>
      <c r="E201" s="237"/>
      <c r="F201" s="237"/>
      <c r="G201" s="237"/>
      <c r="H201" s="237"/>
      <c r="I201" s="237"/>
      <c r="J201" s="237"/>
      <c r="K201" s="237"/>
    </row>
    <row r="202" spans="1:11">
      <c r="A202" s="459"/>
      <c r="B202" s="310"/>
      <c r="C202" s="237"/>
      <c r="D202" s="237"/>
      <c r="E202" s="237"/>
      <c r="F202" s="237"/>
      <c r="G202" s="237"/>
      <c r="H202" s="237"/>
      <c r="I202" s="237"/>
      <c r="J202" s="237"/>
      <c r="K202" s="237"/>
    </row>
    <row r="203" spans="1:11">
      <c r="A203" s="459"/>
      <c r="B203" s="310"/>
      <c r="C203" s="237"/>
      <c r="D203" s="237"/>
      <c r="E203" s="237"/>
      <c r="F203" s="237"/>
      <c r="G203" s="237"/>
      <c r="H203" s="237"/>
      <c r="I203" s="237"/>
      <c r="J203" s="237"/>
      <c r="K203" s="237"/>
    </row>
    <row r="204" spans="1:11">
      <c r="A204" s="459"/>
      <c r="B204" s="310"/>
      <c r="C204" s="237"/>
      <c r="D204" s="237"/>
      <c r="E204" s="237"/>
      <c r="F204" s="237"/>
      <c r="G204" s="237"/>
      <c r="H204" s="237"/>
      <c r="I204" s="237"/>
      <c r="J204" s="237"/>
      <c r="K204" s="237"/>
    </row>
    <row r="205" spans="1:11">
      <c r="A205" s="459"/>
      <c r="B205" s="310"/>
      <c r="C205" s="237"/>
      <c r="D205" s="237"/>
      <c r="E205" s="237"/>
      <c r="F205" s="237"/>
      <c r="G205" s="237"/>
      <c r="H205" s="237"/>
      <c r="I205" s="237"/>
      <c r="J205" s="237"/>
      <c r="K205" s="237"/>
    </row>
    <row r="206" spans="1:11">
      <c r="A206" s="459"/>
      <c r="B206" s="310"/>
      <c r="C206" s="237"/>
      <c r="D206" s="237"/>
      <c r="E206" s="237"/>
      <c r="F206" s="237"/>
      <c r="G206" s="237"/>
      <c r="H206" s="237"/>
      <c r="I206" s="237"/>
      <c r="J206" s="237"/>
      <c r="K206" s="237"/>
    </row>
    <row r="207" spans="1:11">
      <c r="A207" s="459"/>
      <c r="B207" s="310"/>
      <c r="C207" s="237"/>
      <c r="D207" s="237"/>
      <c r="E207" s="237"/>
      <c r="F207" s="237"/>
      <c r="G207" s="237"/>
      <c r="H207" s="237"/>
      <c r="I207" s="237"/>
      <c r="J207" s="237"/>
      <c r="K207" s="237"/>
    </row>
    <row r="208" spans="1:11">
      <c r="A208" s="459"/>
      <c r="B208" s="310"/>
      <c r="C208" s="237"/>
      <c r="D208" s="237"/>
      <c r="E208" s="237"/>
      <c r="F208" s="237"/>
      <c r="G208" s="237"/>
      <c r="H208" s="237"/>
      <c r="I208" s="237"/>
      <c r="J208" s="237"/>
      <c r="K208" s="237"/>
    </row>
    <row r="209" spans="1:11">
      <c r="A209" s="459"/>
      <c r="B209" s="310"/>
      <c r="C209" s="237"/>
      <c r="D209" s="237"/>
      <c r="E209" s="237"/>
      <c r="F209" s="237"/>
      <c r="G209" s="237"/>
      <c r="H209" s="237"/>
      <c r="I209" s="237"/>
      <c r="J209" s="237"/>
      <c r="K209" s="237"/>
    </row>
    <row r="210" spans="1:11">
      <c r="A210" s="459"/>
      <c r="B210" s="310"/>
      <c r="C210" s="237"/>
      <c r="D210" s="237"/>
      <c r="E210" s="237"/>
      <c r="F210" s="237"/>
      <c r="G210" s="237"/>
      <c r="H210" s="237"/>
      <c r="I210" s="237"/>
      <c r="J210" s="237"/>
      <c r="K210" s="237"/>
    </row>
    <row r="211" spans="1:11">
      <c r="A211" s="459"/>
      <c r="B211" s="310"/>
      <c r="C211" s="237"/>
      <c r="D211" s="237"/>
      <c r="E211" s="237"/>
      <c r="F211" s="237"/>
      <c r="G211" s="237"/>
      <c r="H211" s="237"/>
      <c r="I211" s="237"/>
      <c r="J211" s="237"/>
      <c r="K211" s="237"/>
    </row>
    <row r="212" spans="1:11">
      <c r="A212" s="459"/>
      <c r="B212" s="310"/>
      <c r="C212" s="237"/>
      <c r="D212" s="237"/>
      <c r="E212" s="237"/>
      <c r="F212" s="237"/>
      <c r="G212" s="237"/>
      <c r="H212" s="237"/>
      <c r="I212" s="237"/>
      <c r="J212" s="237"/>
      <c r="K212" s="237"/>
    </row>
    <row r="213" spans="1:11">
      <c r="A213" s="459"/>
      <c r="B213" s="310"/>
      <c r="C213" s="237"/>
      <c r="D213" s="237"/>
      <c r="E213" s="237"/>
      <c r="F213" s="237"/>
      <c r="G213" s="237"/>
      <c r="H213" s="237"/>
      <c r="I213" s="237"/>
      <c r="J213" s="237"/>
      <c r="K213" s="237"/>
    </row>
    <row r="214" spans="1:11">
      <c r="A214" s="459"/>
      <c r="B214" s="310"/>
      <c r="C214" s="237"/>
      <c r="D214" s="237"/>
      <c r="E214" s="237"/>
      <c r="F214" s="237"/>
      <c r="G214" s="237"/>
      <c r="H214" s="237"/>
      <c r="I214" s="237"/>
      <c r="J214" s="237"/>
      <c r="K214" s="237"/>
    </row>
    <row r="215" spans="1:11">
      <c r="A215" s="459"/>
      <c r="B215" s="310"/>
      <c r="C215" s="237"/>
      <c r="D215" s="237"/>
      <c r="E215" s="237"/>
      <c r="F215" s="237"/>
      <c r="G215" s="237"/>
      <c r="H215" s="237"/>
      <c r="I215" s="237"/>
      <c r="J215" s="237"/>
      <c r="K215" s="237"/>
    </row>
    <row r="216" spans="1:11">
      <c r="A216" s="459"/>
      <c r="B216" s="310"/>
      <c r="C216" s="237"/>
      <c r="D216" s="237"/>
      <c r="E216" s="237"/>
      <c r="F216" s="237"/>
      <c r="G216" s="237"/>
      <c r="H216" s="237"/>
      <c r="I216" s="237"/>
      <c r="J216" s="237"/>
      <c r="K216" s="237"/>
    </row>
    <row r="217" spans="1:11">
      <c r="A217" s="459"/>
      <c r="B217" s="310"/>
      <c r="C217" s="237"/>
      <c r="D217" s="237"/>
      <c r="E217" s="237"/>
      <c r="F217" s="237"/>
      <c r="G217" s="237"/>
      <c r="H217" s="237"/>
      <c r="I217" s="237"/>
      <c r="J217" s="237"/>
      <c r="K217" s="237"/>
    </row>
    <row r="218" spans="1:11">
      <c r="A218" s="459"/>
      <c r="B218" s="310"/>
      <c r="C218" s="237"/>
      <c r="D218" s="237"/>
      <c r="E218" s="237"/>
      <c r="F218" s="237"/>
      <c r="G218" s="237"/>
      <c r="H218" s="237"/>
      <c r="I218" s="237"/>
      <c r="J218" s="237"/>
      <c r="K218" s="237"/>
    </row>
    <row r="219" spans="1:11">
      <c r="A219" s="459"/>
      <c r="B219" s="310"/>
      <c r="C219" s="237"/>
      <c r="D219" s="237"/>
      <c r="E219" s="237"/>
      <c r="F219" s="237"/>
      <c r="G219" s="237"/>
      <c r="H219" s="237"/>
      <c r="I219" s="237"/>
      <c r="J219" s="237"/>
      <c r="K219" s="237"/>
    </row>
    <row r="220" spans="1:11">
      <c r="A220" s="459"/>
      <c r="B220" s="310"/>
      <c r="C220" s="237"/>
      <c r="D220" s="237"/>
      <c r="E220" s="237"/>
      <c r="F220" s="237"/>
      <c r="G220" s="237"/>
      <c r="H220" s="237"/>
      <c r="I220" s="237"/>
      <c r="J220" s="237"/>
      <c r="K220" s="237"/>
    </row>
    <row r="221" spans="1:11">
      <c r="A221" s="459"/>
      <c r="B221" s="310"/>
      <c r="C221" s="237"/>
      <c r="D221" s="237"/>
      <c r="E221" s="237"/>
      <c r="F221" s="237"/>
      <c r="G221" s="237"/>
      <c r="H221" s="237"/>
      <c r="I221" s="237"/>
      <c r="J221" s="237"/>
      <c r="K221" s="237"/>
    </row>
    <row r="222" spans="1:11">
      <c r="A222" s="459"/>
      <c r="B222" s="310"/>
      <c r="C222" s="237"/>
      <c r="D222" s="237"/>
      <c r="E222" s="237"/>
      <c r="F222" s="237"/>
      <c r="G222" s="237"/>
      <c r="H222" s="237"/>
      <c r="I222" s="237"/>
      <c r="J222" s="237"/>
      <c r="K222" s="237"/>
    </row>
    <row r="223" spans="1:11">
      <c r="A223" s="459"/>
      <c r="B223" s="310"/>
      <c r="C223" s="237"/>
      <c r="D223" s="237"/>
      <c r="E223" s="237"/>
      <c r="F223" s="237"/>
      <c r="G223" s="237"/>
      <c r="H223" s="237"/>
      <c r="I223" s="237"/>
      <c r="J223" s="237"/>
      <c r="K223" s="237"/>
    </row>
    <row r="224" spans="1:11" ht="12.75" customHeight="1">
      <c r="A224" s="459"/>
      <c r="B224" s="272"/>
      <c r="C224" s="272"/>
      <c r="D224" s="272"/>
      <c r="E224" s="272"/>
      <c r="F224" s="272"/>
      <c r="G224" s="237"/>
      <c r="H224" s="237"/>
      <c r="I224" s="237"/>
      <c r="J224" s="237"/>
      <c r="K224" s="237"/>
    </row>
    <row r="225" spans="1:11" ht="18.75">
      <c r="A225" s="459"/>
      <c r="B225" s="239" t="s">
        <v>627</v>
      </c>
      <c r="C225" s="308" t="s">
        <v>589</v>
      </c>
      <c r="D225" s="237"/>
      <c r="E225" s="237"/>
      <c r="F225" s="237"/>
      <c r="G225" s="237"/>
      <c r="H225" s="237"/>
      <c r="I225" s="237"/>
      <c r="J225" s="237"/>
      <c r="K225" s="237"/>
    </row>
    <row r="226" spans="1:11" ht="15.75">
      <c r="A226" s="459"/>
      <c r="B226" s="238"/>
      <c r="C226" s="311"/>
      <c r="D226" s="237"/>
      <c r="E226" s="237"/>
      <c r="F226" s="237"/>
      <c r="G226" s="237"/>
      <c r="H226" s="237"/>
      <c r="I226" s="237"/>
      <c r="J226" s="237"/>
      <c r="K226" s="237"/>
    </row>
    <row r="227" spans="1:11" ht="15">
      <c r="A227" s="459"/>
      <c r="B227" s="258" t="s">
        <v>685</v>
      </c>
      <c r="C227" s="237"/>
      <c r="D227" s="237"/>
      <c r="E227" s="237"/>
      <c r="F227" s="237"/>
      <c r="G227" s="237"/>
      <c r="H227" s="237"/>
      <c r="I227" s="237"/>
      <c r="J227" s="237"/>
      <c r="K227" s="237"/>
    </row>
    <row r="228" spans="1:11">
      <c r="A228" s="459"/>
      <c r="B228" s="235"/>
      <c r="C228" s="237"/>
      <c r="D228" s="237"/>
      <c r="E228" s="237"/>
      <c r="F228" s="237"/>
      <c r="G228" s="237"/>
      <c r="H228" s="237"/>
      <c r="I228" s="237"/>
      <c r="J228" s="237"/>
      <c r="K228" s="237"/>
    </row>
    <row r="229" spans="1:11">
      <c r="A229" s="459"/>
      <c r="B229" s="237"/>
      <c r="C229" s="237"/>
      <c r="D229" s="237"/>
      <c r="E229" s="237"/>
      <c r="F229" s="237"/>
      <c r="G229" s="237"/>
      <c r="H229" s="237"/>
      <c r="I229" s="237"/>
      <c r="J229" s="237"/>
      <c r="K229" s="237"/>
    </row>
    <row r="230" spans="1:11">
      <c r="A230" s="459"/>
      <c r="B230" s="237"/>
      <c r="C230" s="237"/>
      <c r="D230" s="237"/>
      <c r="E230" s="237"/>
      <c r="F230" s="237"/>
      <c r="G230" s="237"/>
      <c r="H230" s="237"/>
      <c r="I230" s="237"/>
      <c r="J230" s="237"/>
      <c r="K230" s="237"/>
    </row>
    <row r="231" spans="1:11">
      <c r="A231" s="459"/>
      <c r="B231" s="237"/>
      <c r="C231" s="237"/>
      <c r="D231" s="237"/>
      <c r="E231" s="237"/>
      <c r="F231" s="237"/>
      <c r="G231" s="237"/>
      <c r="H231" s="237"/>
      <c r="I231" s="237"/>
      <c r="J231" s="237"/>
      <c r="K231" s="237"/>
    </row>
    <row r="232" spans="1:11">
      <c r="A232" s="459"/>
      <c r="B232" s="237"/>
      <c r="C232" s="237"/>
      <c r="D232" s="237"/>
      <c r="E232" s="237"/>
      <c r="F232" s="237"/>
      <c r="G232" s="237"/>
      <c r="H232" s="237"/>
      <c r="I232" s="237"/>
      <c r="J232" s="237"/>
      <c r="K232" s="237"/>
    </row>
    <row r="233" spans="1:11">
      <c r="A233" s="459"/>
      <c r="B233" s="237"/>
      <c r="C233" s="237"/>
      <c r="D233" s="237"/>
      <c r="E233" s="237"/>
      <c r="F233" s="237"/>
      <c r="G233" s="237"/>
      <c r="H233" s="237"/>
      <c r="I233" s="237"/>
      <c r="J233" s="237"/>
      <c r="K233" s="237"/>
    </row>
    <row r="234" spans="1:11">
      <c r="A234" s="459"/>
      <c r="B234" s="237"/>
      <c r="C234" s="237"/>
      <c r="D234" s="237"/>
      <c r="E234" s="237"/>
      <c r="F234" s="237"/>
      <c r="G234" s="237"/>
      <c r="H234" s="237"/>
      <c r="I234" s="237"/>
      <c r="J234" s="237"/>
      <c r="K234" s="237"/>
    </row>
    <row r="235" spans="1:11">
      <c r="A235" s="459"/>
      <c r="B235" s="237"/>
      <c r="C235" s="237"/>
      <c r="D235" s="237"/>
      <c r="E235" s="237"/>
      <c r="F235" s="237"/>
      <c r="G235" s="237"/>
      <c r="H235" s="237"/>
      <c r="I235" s="237"/>
      <c r="J235" s="237"/>
      <c r="K235" s="237"/>
    </row>
    <row r="236" spans="1:11">
      <c r="A236" s="459"/>
      <c r="B236" s="237"/>
      <c r="C236" s="237"/>
      <c r="D236" s="237"/>
      <c r="E236" s="237"/>
      <c r="F236" s="237"/>
      <c r="G236" s="237"/>
      <c r="H236" s="237"/>
      <c r="I236" s="237"/>
      <c r="J236" s="237"/>
      <c r="K236" s="237"/>
    </row>
    <row r="237" spans="1:11">
      <c r="A237" s="459"/>
      <c r="B237" s="237"/>
      <c r="C237" s="237"/>
      <c r="D237" s="237"/>
      <c r="E237" s="237"/>
      <c r="F237" s="237"/>
      <c r="G237" s="237"/>
      <c r="H237" s="237"/>
      <c r="I237" s="237"/>
      <c r="J237" s="237"/>
      <c r="K237" s="237"/>
    </row>
    <row r="238" spans="1:11">
      <c r="A238" s="459"/>
      <c r="B238" s="237"/>
      <c r="C238" s="237"/>
      <c r="D238" s="237"/>
      <c r="E238" s="237"/>
      <c r="F238" s="237"/>
      <c r="G238" s="237"/>
      <c r="H238" s="237"/>
      <c r="I238" s="237"/>
      <c r="J238" s="237"/>
      <c r="K238" s="237"/>
    </row>
    <row r="239" spans="1:11">
      <c r="A239" s="459"/>
      <c r="B239" s="237"/>
      <c r="C239" s="237"/>
      <c r="D239" s="237"/>
      <c r="E239" s="237"/>
      <c r="F239" s="237"/>
      <c r="G239" s="237"/>
      <c r="H239" s="237"/>
      <c r="I239" s="237"/>
      <c r="J239" s="237"/>
      <c r="K239" s="237"/>
    </row>
    <row r="240" spans="1:11">
      <c r="A240" s="459"/>
      <c r="B240" s="237"/>
      <c r="C240" s="237"/>
      <c r="D240" s="237"/>
      <c r="E240" s="237"/>
      <c r="F240" s="237"/>
      <c r="G240" s="237"/>
      <c r="H240" s="237"/>
      <c r="I240" s="237"/>
      <c r="J240" s="237"/>
      <c r="K240" s="237"/>
    </row>
    <row r="241" spans="1:11">
      <c r="A241" s="459"/>
      <c r="B241" s="237"/>
      <c r="C241" s="237"/>
      <c r="D241" s="237"/>
      <c r="E241" s="237"/>
      <c r="F241" s="237"/>
      <c r="G241" s="237"/>
      <c r="H241" s="237"/>
      <c r="I241" s="237"/>
      <c r="J241" s="237"/>
      <c r="K241" s="237"/>
    </row>
    <row r="242" spans="1:11">
      <c r="A242" s="459"/>
      <c r="B242" s="237"/>
      <c r="C242" s="237"/>
      <c r="D242" s="237"/>
      <c r="E242" s="237"/>
      <c r="F242" s="237"/>
      <c r="G242" s="237"/>
      <c r="H242" s="237"/>
      <c r="I242" s="237"/>
      <c r="J242" s="237"/>
      <c r="K242" s="237"/>
    </row>
    <row r="243" spans="1:11">
      <c r="A243" s="459"/>
      <c r="B243" s="237"/>
      <c r="C243" s="237"/>
      <c r="D243" s="237"/>
      <c r="E243" s="237"/>
      <c r="F243" s="237"/>
      <c r="G243" s="237"/>
      <c r="H243" s="237"/>
      <c r="I243" s="237"/>
      <c r="J243" s="237"/>
      <c r="K243" s="237"/>
    </row>
    <row r="244" spans="1:11">
      <c r="A244" s="459"/>
      <c r="B244" s="237"/>
      <c r="C244" s="237"/>
      <c r="D244" s="237"/>
      <c r="E244" s="237"/>
      <c r="F244" s="237"/>
      <c r="G244" s="237"/>
      <c r="H244" s="237"/>
      <c r="I244" s="237"/>
      <c r="J244" s="237"/>
      <c r="K244" s="237"/>
    </row>
    <row r="245" spans="1:11">
      <c r="A245" s="459"/>
      <c r="B245" s="237"/>
      <c r="C245" s="237"/>
      <c r="D245" s="237"/>
      <c r="E245" s="237"/>
      <c r="F245" s="237"/>
      <c r="G245" s="237"/>
      <c r="H245" s="237"/>
      <c r="I245" s="237"/>
      <c r="J245" s="237"/>
      <c r="K245" s="237"/>
    </row>
    <row r="246" spans="1:11">
      <c r="A246" s="459"/>
      <c r="B246" s="237"/>
      <c r="C246" s="237"/>
      <c r="D246" s="237"/>
      <c r="E246" s="237"/>
      <c r="F246" s="237"/>
      <c r="G246" s="237"/>
      <c r="H246" s="237"/>
      <c r="I246" s="237"/>
      <c r="J246" s="237"/>
      <c r="K246" s="237"/>
    </row>
    <row r="247" spans="1:11">
      <c r="A247" s="459"/>
      <c r="B247" s="237"/>
      <c r="C247" s="237"/>
      <c r="D247" s="237"/>
      <c r="E247" s="237"/>
      <c r="F247" s="237"/>
      <c r="G247" s="237"/>
      <c r="H247" s="237"/>
      <c r="I247" s="237"/>
      <c r="J247" s="237"/>
      <c r="K247" s="237"/>
    </row>
    <row r="248" spans="1:11">
      <c r="A248" s="459"/>
      <c r="B248" s="237"/>
      <c r="C248" s="237"/>
      <c r="D248" s="237"/>
      <c r="E248" s="237"/>
      <c r="F248" s="237"/>
      <c r="G248" s="237"/>
      <c r="H248" s="237"/>
      <c r="I248" s="237"/>
      <c r="J248" s="237"/>
      <c r="K248" s="237"/>
    </row>
    <row r="249" spans="1:11">
      <c r="A249" s="459"/>
      <c r="B249" s="237"/>
      <c r="C249" s="237"/>
      <c r="D249" s="237"/>
      <c r="E249" s="237"/>
      <c r="F249" s="237"/>
      <c r="G249" s="237"/>
      <c r="H249" s="237"/>
      <c r="I249" s="237"/>
      <c r="J249" s="237"/>
      <c r="K249" s="237"/>
    </row>
    <row r="250" spans="1:11">
      <c r="A250" s="459"/>
      <c r="B250" s="237"/>
      <c r="C250" s="237"/>
      <c r="D250" s="237"/>
      <c r="E250" s="237"/>
      <c r="F250" s="237"/>
      <c r="G250" s="237"/>
      <c r="H250" s="237"/>
      <c r="I250" s="237"/>
      <c r="J250" s="237"/>
      <c r="K250" s="237"/>
    </row>
    <row r="251" spans="1:11">
      <c r="A251" s="459"/>
      <c r="B251" s="237"/>
      <c r="C251" s="237"/>
      <c r="D251" s="237"/>
      <c r="E251" s="237"/>
      <c r="F251" s="237"/>
      <c r="G251" s="237"/>
      <c r="H251" s="237"/>
      <c r="I251" s="237"/>
      <c r="J251" s="237"/>
      <c r="K251" s="237"/>
    </row>
    <row r="252" spans="1:11">
      <c r="A252" s="459"/>
      <c r="B252" s="237"/>
      <c r="C252" s="237"/>
      <c r="D252" s="237"/>
      <c r="E252" s="237"/>
      <c r="F252" s="237"/>
      <c r="G252" s="237"/>
      <c r="H252" s="237"/>
      <c r="I252" s="237"/>
      <c r="J252" s="237"/>
      <c r="K252" s="237"/>
    </row>
    <row r="253" spans="1:11">
      <c r="A253" s="459"/>
      <c r="B253" s="237"/>
      <c r="C253" s="237"/>
      <c r="D253" s="237"/>
      <c r="E253" s="237"/>
      <c r="F253" s="237"/>
      <c r="G253" s="237"/>
      <c r="H253" s="237"/>
      <c r="I253" s="237"/>
      <c r="J253" s="237"/>
      <c r="K253" s="237"/>
    </row>
    <row r="254" spans="1:11">
      <c r="A254" s="459"/>
      <c r="B254" s="237"/>
      <c r="C254" s="237"/>
      <c r="D254" s="237"/>
      <c r="E254" s="237"/>
      <c r="F254" s="237"/>
      <c r="G254" s="237"/>
      <c r="H254" s="237"/>
      <c r="I254" s="237"/>
      <c r="J254" s="237"/>
      <c r="K254" s="237"/>
    </row>
    <row r="255" spans="1:11">
      <c r="A255" s="459"/>
      <c r="B255" s="237"/>
      <c r="C255" s="237"/>
      <c r="D255" s="237"/>
      <c r="E255" s="237"/>
      <c r="F255" s="237"/>
      <c r="G255" s="237"/>
      <c r="H255" s="237"/>
      <c r="I255" s="237"/>
      <c r="J255" s="237"/>
      <c r="K255" s="237"/>
    </row>
    <row r="256" spans="1:11">
      <c r="A256" s="459"/>
      <c r="B256" s="237"/>
      <c r="C256" s="237"/>
      <c r="D256" s="237"/>
      <c r="E256" s="237"/>
      <c r="F256" s="237"/>
      <c r="G256" s="237"/>
      <c r="H256" s="237"/>
      <c r="I256" s="237"/>
      <c r="J256" s="237"/>
      <c r="K256" s="237"/>
    </row>
    <row r="257" spans="1:11">
      <c r="A257" s="459"/>
      <c r="B257" s="237"/>
      <c r="C257" s="237"/>
      <c r="D257" s="237"/>
      <c r="E257" s="237"/>
      <c r="F257" s="237"/>
      <c r="G257" s="237"/>
      <c r="H257" s="237"/>
      <c r="I257" s="237"/>
      <c r="J257" s="237"/>
      <c r="K257" s="237"/>
    </row>
    <row r="258" spans="1:11">
      <c r="A258" s="459"/>
      <c r="B258" s="237"/>
      <c r="C258" s="237"/>
      <c r="D258" s="237"/>
      <c r="E258" s="237"/>
      <c r="F258" s="237"/>
      <c r="G258" s="237"/>
      <c r="H258" s="237"/>
      <c r="I258" s="237"/>
      <c r="J258" s="237"/>
      <c r="K258" s="237"/>
    </row>
  </sheetData>
  <sheetProtection algorithmName="SHA-512" hashValue="ri0/Gd0rdGbqjP4fS+B3wM4DTgaAtqR1u0oLXDnqNJV4vJDeJN/b60UQyKPpmzyxJuMHAeRPpKizEeTjU0JEKw==" saltValue="/kr6TsZkWDvZryBG941NeQ==" spinCount="100000" sheet="1" selectLockedCells="1"/>
  <mergeCells count="7">
    <mergeCell ref="B1:K1"/>
    <mergeCell ref="J2:K2"/>
    <mergeCell ref="A225:A258"/>
    <mergeCell ref="A175:A224"/>
    <mergeCell ref="B140:C140"/>
    <mergeCell ref="A2:A44"/>
    <mergeCell ref="A50:A174"/>
  </mergeCells>
  <pageMargins left="0.70866141732283472" right="0.70866141732283472" top="0.74803149606299213" bottom="0.74803149606299213" header="0.31496062992125984" footer="0.31496062992125984"/>
  <pageSetup scale="78" fitToHeight="0" orientation="landscape" r:id="rId1"/>
  <headerFooter>
    <oddFooter>&amp;RRéférences PAGE &amp;P de &amp;N</oddFooter>
  </headerFooter>
  <rowBreaks count="5" manualBreakCount="5">
    <brk id="49" min="1" max="10" man="1"/>
    <brk id="95" min="1" max="10" man="1"/>
    <brk id="138" min="1" max="10" man="1"/>
    <brk id="174" min="1" max="10" man="1"/>
    <brk id="224" min="1"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BB2-6A0E-4576-8703-C5D0137C5C9D}">
  <dimension ref="A1:AU1000"/>
  <sheetViews>
    <sheetView workbookViewId="0">
      <pane ySplit="2" topLeftCell="A105" activePane="bottomLeft" state="frozen"/>
      <selection activeCell="B153" sqref="B153:D153"/>
      <selection pane="bottomLeft" activeCell="D174" sqref="D174"/>
    </sheetView>
  </sheetViews>
  <sheetFormatPr baseColWidth="10" defaultColWidth="11.42578125" defaultRowHeight="12.75"/>
  <cols>
    <col min="1" max="1" width="38.85546875" style="285" bestFit="1" customWidth="1"/>
    <col min="2" max="2" width="8.7109375" style="285" bestFit="1" customWidth="1"/>
    <col min="3" max="3" width="8.85546875" style="285" bestFit="1" customWidth="1"/>
    <col min="4" max="4" width="10.5703125" style="285" bestFit="1" customWidth="1"/>
    <col min="5" max="5" width="37.140625" style="285" bestFit="1" customWidth="1"/>
    <col min="6" max="6" width="8.42578125" style="285" bestFit="1" customWidth="1"/>
    <col min="7" max="7" width="13.5703125" style="285" bestFit="1" customWidth="1"/>
    <col min="8" max="8" width="10.28515625" style="285" customWidth="1"/>
    <col min="9" max="9" width="16.42578125" style="285" bestFit="1" customWidth="1"/>
    <col min="10" max="11" width="7" style="285" bestFit="1" customWidth="1"/>
    <col min="12" max="12" width="7" style="285" customWidth="1"/>
    <col min="13" max="16" width="7.85546875" style="285" bestFit="1" customWidth="1"/>
    <col min="17" max="17" width="9" style="285" bestFit="1" customWidth="1"/>
    <col min="18" max="19" width="6.7109375" style="285" bestFit="1" customWidth="1"/>
    <col min="20" max="23" width="7.85546875" style="285" bestFit="1" customWidth="1"/>
    <col min="24" max="24" width="9" style="285" bestFit="1" customWidth="1"/>
    <col min="25" max="26" width="7" style="285" bestFit="1" customWidth="1"/>
    <col min="27" max="29" width="7.85546875" style="285" bestFit="1" customWidth="1"/>
    <col min="30" max="30" width="8" style="285" bestFit="1" customWidth="1"/>
    <col min="31" max="31" width="9" style="285" bestFit="1" customWidth="1"/>
    <col min="32" max="33" width="6.7109375" style="285" bestFit="1" customWidth="1"/>
    <col min="34" max="37" width="7.85546875" style="285" bestFit="1" customWidth="1"/>
    <col min="38" max="38" width="9" style="285" bestFit="1" customWidth="1"/>
    <col min="39" max="40" width="6.85546875" style="285" bestFit="1" customWidth="1"/>
    <col min="41" max="44" width="8" style="285" bestFit="1" customWidth="1"/>
    <col min="45" max="45" width="9.140625" style="285" bestFit="1" customWidth="1"/>
    <col min="46" max="46" width="11.42578125" style="285"/>
    <col min="47" max="47" width="15.85546875" style="285" bestFit="1" customWidth="1"/>
    <col min="48" max="16384" width="11.42578125" style="285"/>
  </cols>
  <sheetData>
    <row r="1" spans="1:47" s="259" customFormat="1">
      <c r="A1" s="462"/>
      <c r="B1" s="462"/>
      <c r="C1" s="462"/>
      <c r="D1" s="462"/>
      <c r="E1" s="462"/>
      <c r="F1" s="462"/>
      <c r="G1" s="462"/>
      <c r="H1" s="462"/>
      <c r="I1" s="462"/>
      <c r="J1" s="462"/>
      <c r="K1" s="463" t="s">
        <v>404</v>
      </c>
      <c r="L1" s="463"/>
      <c r="M1" s="463"/>
      <c r="N1" s="463"/>
      <c r="O1" s="463"/>
      <c r="P1" s="463"/>
      <c r="Q1" s="463"/>
      <c r="R1" s="463"/>
      <c r="S1" s="463"/>
      <c r="T1" s="463"/>
      <c r="U1" s="463"/>
      <c r="V1" s="463"/>
      <c r="W1" s="463"/>
      <c r="X1" s="463"/>
      <c r="Y1" s="463" t="s">
        <v>405</v>
      </c>
      <c r="Z1" s="463"/>
      <c r="AA1" s="463"/>
      <c r="AB1" s="463"/>
      <c r="AC1" s="463"/>
      <c r="AD1" s="463"/>
      <c r="AE1" s="463"/>
      <c r="AF1" s="463"/>
      <c r="AG1" s="463"/>
      <c r="AH1" s="463"/>
      <c r="AI1" s="463"/>
      <c r="AJ1" s="463"/>
      <c r="AK1" s="463"/>
      <c r="AL1" s="463"/>
      <c r="AM1" s="463"/>
      <c r="AN1" s="463"/>
      <c r="AO1" s="463"/>
      <c r="AP1" s="463"/>
      <c r="AQ1" s="463"/>
      <c r="AR1" s="463"/>
      <c r="AS1" s="463"/>
    </row>
    <row r="2" spans="1:47" s="259" customFormat="1">
      <c r="A2" s="260" t="s">
        <v>25</v>
      </c>
      <c r="B2" s="260" t="s">
        <v>26</v>
      </c>
      <c r="C2" s="260" t="s">
        <v>27</v>
      </c>
      <c r="D2" s="260" t="s">
        <v>28</v>
      </c>
      <c r="E2" s="261" t="s">
        <v>466</v>
      </c>
      <c r="F2" s="260" t="s">
        <v>29</v>
      </c>
      <c r="G2" s="260" t="s">
        <v>30</v>
      </c>
      <c r="H2" s="260" t="s">
        <v>31</v>
      </c>
      <c r="I2" s="260" t="s">
        <v>291</v>
      </c>
      <c r="J2" s="260" t="s">
        <v>32</v>
      </c>
      <c r="K2" s="260" t="s">
        <v>33</v>
      </c>
      <c r="L2" s="260" t="s">
        <v>34</v>
      </c>
      <c r="M2" s="260" t="s">
        <v>35</v>
      </c>
      <c r="N2" s="260" t="s">
        <v>36</v>
      </c>
      <c r="O2" s="260" t="s">
        <v>333</v>
      </c>
      <c r="P2" s="260" t="s">
        <v>37</v>
      </c>
      <c r="Q2" s="260" t="s">
        <v>38</v>
      </c>
      <c r="R2" s="260" t="s">
        <v>39</v>
      </c>
      <c r="S2" s="260" t="s">
        <v>40</v>
      </c>
      <c r="T2" s="260" t="s">
        <v>41</v>
      </c>
      <c r="U2" s="260" t="s">
        <v>340</v>
      </c>
      <c r="V2" s="260" t="s">
        <v>42</v>
      </c>
      <c r="W2" s="260" t="s">
        <v>43</v>
      </c>
      <c r="X2" s="260" t="s">
        <v>44</v>
      </c>
      <c r="Y2" s="260" t="s">
        <v>33</v>
      </c>
      <c r="Z2" s="260" t="s">
        <v>34</v>
      </c>
      <c r="AA2" s="260" t="s">
        <v>35</v>
      </c>
      <c r="AB2" s="260" t="s">
        <v>36</v>
      </c>
      <c r="AC2" s="260" t="s">
        <v>333</v>
      </c>
      <c r="AD2" s="260" t="s">
        <v>37</v>
      </c>
      <c r="AE2" s="260" t="s">
        <v>38</v>
      </c>
      <c r="AF2" s="260" t="s">
        <v>39</v>
      </c>
      <c r="AG2" s="260" t="s">
        <v>40</v>
      </c>
      <c r="AH2" s="260" t="s">
        <v>41</v>
      </c>
      <c r="AI2" s="260" t="s">
        <v>340</v>
      </c>
      <c r="AJ2" s="260" t="s">
        <v>42</v>
      </c>
      <c r="AK2" s="260" t="s">
        <v>43</v>
      </c>
      <c r="AL2" s="260" t="s">
        <v>44</v>
      </c>
      <c r="AM2" s="260" t="s">
        <v>334</v>
      </c>
      <c r="AN2" s="260" t="s">
        <v>335</v>
      </c>
      <c r="AO2" s="260" t="s">
        <v>336</v>
      </c>
      <c r="AP2" s="260" t="s">
        <v>341</v>
      </c>
      <c r="AQ2" s="260" t="s">
        <v>337</v>
      </c>
      <c r="AR2" s="260" t="s">
        <v>338</v>
      </c>
      <c r="AS2" s="260" t="s">
        <v>339</v>
      </c>
    </row>
    <row r="3" spans="1:47" s="259" customFormat="1">
      <c r="A3" s="259" t="s">
        <v>45</v>
      </c>
      <c r="B3" s="259" t="s">
        <v>46</v>
      </c>
      <c r="C3" s="262">
        <v>46.833433333433348</v>
      </c>
      <c r="D3" s="262">
        <v>-71.183233333233332</v>
      </c>
      <c r="E3" s="263">
        <f>IF(OR(C3="",D3=""),"",ACOS((SIN(RADIANS(C3)) * SIN(RADIANS('Hydrologie-Méthode rationnelle'!$C$22))) + (COS(RADIANS(C3)) * COS(RADIANS('Hydrologie-Méthode rationnelle'!$C$22))) * (COS(RADIANS(D3) - RADIANS('Hydrologie-Méthode rationnelle'!$C$23)))) * 6371)</f>
        <v>8590.0628234161068</v>
      </c>
      <c r="F3" s="259">
        <v>10</v>
      </c>
      <c r="G3" s="259" t="s">
        <v>47</v>
      </c>
      <c r="H3" s="259" t="s">
        <v>292</v>
      </c>
      <c r="I3" s="259" t="s">
        <v>293</v>
      </c>
      <c r="J3" s="259">
        <v>48.212000000000003</v>
      </c>
      <c r="K3" s="259">
        <v>19.780999999999999</v>
      </c>
      <c r="L3" s="259">
        <v>25.9</v>
      </c>
      <c r="M3" s="259">
        <v>29.899000000000001</v>
      </c>
      <c r="N3" s="259">
        <v>33.713000000000001</v>
      </c>
      <c r="O3" s="259">
        <v>34.92</v>
      </c>
      <c r="P3" s="259">
        <v>38.628999999999998</v>
      </c>
      <c r="Q3" s="259">
        <v>42.301000000000002</v>
      </c>
      <c r="R3" s="259">
        <v>-0.67600000000000005</v>
      </c>
      <c r="S3" s="259">
        <v>-0.69399999999999995</v>
      </c>
      <c r="T3" s="259">
        <v>-0.70299999999999996</v>
      </c>
      <c r="U3" s="259">
        <v>-0.71</v>
      </c>
      <c r="V3" s="259">
        <v>-0.71199999999999997</v>
      </c>
      <c r="W3" s="259">
        <v>-0.71599999999999997</v>
      </c>
      <c r="X3" s="259">
        <v>-0.72099999999999997</v>
      </c>
      <c r="Y3" s="259">
        <v>23.077999999999999</v>
      </c>
      <c r="Z3" s="259">
        <v>35.085000000000001</v>
      </c>
      <c r="AA3" s="259">
        <v>43.828000000000003</v>
      </c>
      <c r="AB3" s="259">
        <v>52.637999999999998</v>
      </c>
      <c r="AC3" s="259">
        <v>55.502000000000002</v>
      </c>
      <c r="AD3" s="259">
        <v>64.504000000000005</v>
      </c>
      <c r="AE3" s="259">
        <v>73.662000000000006</v>
      </c>
      <c r="AF3" s="259">
        <v>-0.752</v>
      </c>
      <c r="AG3" s="259">
        <v>-0.83899999999999997</v>
      </c>
      <c r="AH3" s="259">
        <v>-0.88300000000000001</v>
      </c>
      <c r="AI3" s="259">
        <v>-0.91700000000000004</v>
      </c>
      <c r="AJ3" s="259">
        <v>-0.92700000000000005</v>
      </c>
      <c r="AK3" s="259">
        <v>-0.95299999999999996</v>
      </c>
      <c r="AL3" s="259">
        <v>-0.97499999999999998</v>
      </c>
      <c r="AM3" s="259">
        <v>8.2000000000000003E-2</v>
      </c>
      <c r="AN3" s="259">
        <v>0.17299999999999999</v>
      </c>
      <c r="AO3" s="259">
        <v>0.223</v>
      </c>
      <c r="AP3" s="259">
        <v>0.26500000000000001</v>
      </c>
      <c r="AQ3" s="259">
        <v>0.27700000000000002</v>
      </c>
      <c r="AR3" s="259">
        <v>0.311</v>
      </c>
      <c r="AS3" s="259">
        <v>0.33900000000000002</v>
      </c>
    </row>
    <row r="4" spans="1:47" s="259" customFormat="1">
      <c r="A4" s="259" t="s">
        <v>342</v>
      </c>
      <c r="B4" s="259" t="s">
        <v>49</v>
      </c>
      <c r="C4" s="262">
        <v>46.866766666766672</v>
      </c>
      <c r="D4" s="262">
        <v>-71.266566666566661</v>
      </c>
      <c r="E4" s="263">
        <f>IF(OR(C4="",D4=""),"",ACOS((SIN(RADIANS(C4)) * SIN(RADIANS('Hydrologie-Méthode rationnelle'!$C$22))) + (COS(RADIANS(C4)) * COS(RADIANS('Hydrologie-Méthode rationnelle'!$C$22))) * (COS(RADIANS(D4) - RADIANS('Hydrologie-Méthode rationnelle'!$C$23)))) * 6371)</f>
        <v>8597.1059689783488</v>
      </c>
      <c r="F4" s="259">
        <v>114</v>
      </c>
      <c r="G4" s="259" t="s">
        <v>50</v>
      </c>
      <c r="H4" s="259" t="s">
        <v>51</v>
      </c>
      <c r="I4" s="259" t="s">
        <v>294</v>
      </c>
      <c r="J4" s="259">
        <v>37.966000000000001</v>
      </c>
      <c r="K4" s="259">
        <v>20.832000000000001</v>
      </c>
      <c r="L4" s="259">
        <v>26.466999999999999</v>
      </c>
      <c r="M4" s="259">
        <v>30.184000000000001</v>
      </c>
      <c r="N4" s="259">
        <v>33.741999999999997</v>
      </c>
      <c r="O4" s="259">
        <v>34.869999999999997</v>
      </c>
      <c r="P4" s="259">
        <v>38.341000000000001</v>
      </c>
      <c r="Q4" s="259">
        <v>41.783999999999999</v>
      </c>
      <c r="R4" s="259">
        <v>-0.66400000000000003</v>
      </c>
      <c r="S4" s="259">
        <v>-0.67500000000000004</v>
      </c>
      <c r="T4" s="259">
        <v>-0.68</v>
      </c>
      <c r="U4" s="259">
        <v>-0.68400000000000005</v>
      </c>
      <c r="V4" s="259">
        <v>-0.68500000000000005</v>
      </c>
      <c r="W4" s="259">
        <v>-0.68799999999999994</v>
      </c>
      <c r="X4" s="259">
        <v>-0.69</v>
      </c>
      <c r="Y4" s="259">
        <v>23.934000000000001</v>
      </c>
      <c r="Z4" s="259">
        <v>30.405999999999999</v>
      </c>
      <c r="AA4" s="259">
        <v>34.67</v>
      </c>
      <c r="AB4" s="259">
        <v>38.75</v>
      </c>
      <c r="AC4" s="259">
        <v>40.042999999999999</v>
      </c>
      <c r="AD4" s="259">
        <v>44.021999999999998</v>
      </c>
      <c r="AE4" s="259">
        <v>47.966000000000001</v>
      </c>
      <c r="AF4" s="259">
        <v>-0.73199999999999998</v>
      </c>
      <c r="AG4" s="259">
        <v>-0.74399999999999999</v>
      </c>
      <c r="AH4" s="259">
        <v>-0.749</v>
      </c>
      <c r="AI4" s="259">
        <v>-0.752</v>
      </c>
      <c r="AJ4" s="259">
        <v>-0.753</v>
      </c>
      <c r="AK4" s="259">
        <v>-0.75600000000000001</v>
      </c>
      <c r="AL4" s="259">
        <v>-0.75900000000000001</v>
      </c>
      <c r="AM4" s="259">
        <v>7.3999999999999996E-2</v>
      </c>
      <c r="AN4" s="259">
        <v>7.2999999999999995E-2</v>
      </c>
      <c r="AO4" s="259">
        <v>7.1999999999999995E-2</v>
      </c>
      <c r="AP4" s="259">
        <v>7.1999999999999995E-2</v>
      </c>
      <c r="AQ4" s="259">
        <v>7.1999999999999995E-2</v>
      </c>
      <c r="AR4" s="259">
        <v>7.0999999999999994E-2</v>
      </c>
      <c r="AS4" s="259">
        <v>7.0999999999999994E-2</v>
      </c>
    </row>
    <row r="5" spans="1:47" s="259" customFormat="1">
      <c r="A5" s="259" t="s">
        <v>52</v>
      </c>
      <c r="B5" s="259" t="s">
        <v>53</v>
      </c>
      <c r="C5" s="262">
        <v>46.666766666766662</v>
      </c>
      <c r="D5" s="262">
        <v>-71.916566666566666</v>
      </c>
      <c r="E5" s="263">
        <f>IF(OR(C5="",D5=""),"",ACOS((SIN(RADIANS(C5)) * SIN(RADIANS('Hydrologie-Méthode rationnelle'!$C$22))) + (COS(RADIANS(C5)) * COS(RADIANS('Hydrologie-Méthode rationnelle'!$C$22))) * (COS(RADIANS(D5) - RADIANS('Hydrologie-Méthode rationnelle'!$C$23)))) * 6371)</f>
        <v>8639.9781074515431</v>
      </c>
      <c r="F5" s="259">
        <v>15</v>
      </c>
      <c r="G5" s="259" t="s">
        <v>54</v>
      </c>
      <c r="H5" s="259" t="s">
        <v>55</v>
      </c>
      <c r="I5" s="259" t="s">
        <v>295</v>
      </c>
      <c r="J5" s="259">
        <v>32.469000000000001</v>
      </c>
      <c r="K5" s="259">
        <v>19.091000000000001</v>
      </c>
      <c r="L5" s="259">
        <v>24.751999999999999</v>
      </c>
      <c r="M5" s="259">
        <v>28.492999999999999</v>
      </c>
      <c r="N5" s="259">
        <v>32.078000000000003</v>
      </c>
      <c r="O5" s="259">
        <v>33.215000000000003</v>
      </c>
      <c r="P5" s="259">
        <v>36.715000000000003</v>
      </c>
      <c r="Q5" s="259">
        <v>40.189</v>
      </c>
      <c r="R5" s="259">
        <v>-0.65400000000000003</v>
      </c>
      <c r="S5" s="259">
        <v>-0.66500000000000004</v>
      </c>
      <c r="T5" s="259">
        <v>-0.67</v>
      </c>
      <c r="U5" s="259">
        <v>-0.67300000000000004</v>
      </c>
      <c r="V5" s="259">
        <v>-0.67400000000000004</v>
      </c>
      <c r="W5" s="259">
        <v>-0.67700000000000005</v>
      </c>
      <c r="X5" s="259">
        <v>-0.67900000000000005</v>
      </c>
      <c r="Y5" s="259">
        <v>21.39</v>
      </c>
      <c r="Z5" s="259">
        <v>27.393999999999998</v>
      </c>
      <c r="AA5" s="259">
        <v>31.376999999999999</v>
      </c>
      <c r="AB5" s="259">
        <v>35.200000000000003</v>
      </c>
      <c r="AC5" s="259">
        <v>36.414000000000001</v>
      </c>
      <c r="AD5" s="259">
        <v>40.152000000000001</v>
      </c>
      <c r="AE5" s="259">
        <v>43.863</v>
      </c>
      <c r="AF5" s="259">
        <v>-0.71099999999999997</v>
      </c>
      <c r="AG5" s="259">
        <v>-0.71499999999999997</v>
      </c>
      <c r="AH5" s="259">
        <v>-0.71799999999999997</v>
      </c>
      <c r="AI5" s="259">
        <v>-0.72</v>
      </c>
      <c r="AJ5" s="259">
        <v>-0.72</v>
      </c>
      <c r="AK5" s="259">
        <v>-0.72099999999999997</v>
      </c>
      <c r="AL5" s="259">
        <v>-0.72299999999999998</v>
      </c>
      <c r="AM5" s="259">
        <v>6.0999999999999999E-2</v>
      </c>
      <c r="AN5" s="259">
        <v>5.2999999999999999E-2</v>
      </c>
      <c r="AO5" s="259">
        <v>4.9000000000000002E-2</v>
      </c>
      <c r="AP5" s="259">
        <v>4.7E-2</v>
      </c>
      <c r="AQ5" s="259">
        <v>4.7E-2</v>
      </c>
      <c r="AR5" s="259">
        <v>4.4999999999999998E-2</v>
      </c>
      <c r="AS5" s="259">
        <v>4.3999999999999997E-2</v>
      </c>
    </row>
    <row r="6" spans="1:47" s="259" customFormat="1">
      <c r="A6" s="259" t="s">
        <v>56</v>
      </c>
      <c r="B6" s="259" t="s">
        <v>57</v>
      </c>
      <c r="C6" s="262">
        <v>46.816766666766675</v>
      </c>
      <c r="D6" s="262">
        <v>-71.299899999899992</v>
      </c>
      <c r="E6" s="263">
        <f>IF(OR(C6="",D6=""),"",ACOS((SIN(RADIANS(C6)) * SIN(RADIANS('Hydrologie-Méthode rationnelle'!$C$22))) + (COS(RADIANS(C6)) * COS(RADIANS('Hydrologie-Méthode rationnelle'!$C$22))) * (COS(RADIANS(D6) - RADIANS('Hydrologie-Méthode rationnelle'!$C$23)))) * 6371)</f>
        <v>8598.2332657601164</v>
      </c>
      <c r="F6" s="259">
        <v>15</v>
      </c>
      <c r="G6" s="259" t="s">
        <v>50</v>
      </c>
      <c r="H6" s="259" t="s">
        <v>58</v>
      </c>
      <c r="I6" s="259" t="s">
        <v>296</v>
      </c>
      <c r="J6" s="259">
        <v>34.648000000000003</v>
      </c>
      <c r="K6" s="259">
        <v>18.071999999999999</v>
      </c>
      <c r="L6" s="259">
        <v>25.277999999999999</v>
      </c>
      <c r="M6" s="259">
        <v>29.981999999999999</v>
      </c>
      <c r="N6" s="259">
        <v>34.468000000000004</v>
      </c>
      <c r="O6" s="259">
        <v>35.887</v>
      </c>
      <c r="P6" s="259">
        <v>40.25</v>
      </c>
      <c r="Q6" s="259">
        <v>44.570999999999998</v>
      </c>
      <c r="R6" s="259">
        <v>-0.621</v>
      </c>
      <c r="S6" s="259">
        <v>-0.66100000000000003</v>
      </c>
      <c r="T6" s="259">
        <v>-0.67800000000000005</v>
      </c>
      <c r="U6" s="259">
        <v>-0.69</v>
      </c>
      <c r="V6" s="259">
        <v>-0.69299999999999995</v>
      </c>
      <c r="W6" s="259">
        <v>-0.70099999999999996</v>
      </c>
      <c r="X6" s="259">
        <v>-0.70799999999999996</v>
      </c>
      <c r="Y6" s="259">
        <v>19.713000000000001</v>
      </c>
      <c r="Z6" s="259">
        <v>29.166</v>
      </c>
      <c r="AA6" s="259">
        <v>35.430999999999997</v>
      </c>
      <c r="AB6" s="259">
        <v>41.445999999999998</v>
      </c>
      <c r="AC6" s="259">
        <v>43.356000000000002</v>
      </c>
      <c r="AD6" s="259">
        <v>49.241999999999997</v>
      </c>
      <c r="AE6" s="259">
        <v>55.09</v>
      </c>
      <c r="AF6" s="259">
        <v>-0.66500000000000004</v>
      </c>
      <c r="AG6" s="259">
        <v>-0.73199999999999998</v>
      </c>
      <c r="AH6" s="259">
        <v>-0.76</v>
      </c>
      <c r="AI6" s="259">
        <v>-0.78</v>
      </c>
      <c r="AJ6" s="259">
        <v>-0.78600000000000003</v>
      </c>
      <c r="AK6" s="259">
        <v>-0.8</v>
      </c>
      <c r="AL6" s="259">
        <v>-0.81200000000000006</v>
      </c>
      <c r="AM6" s="259">
        <v>4.8000000000000001E-2</v>
      </c>
      <c r="AN6" s="259">
        <v>7.6999999999999999E-2</v>
      </c>
      <c r="AO6" s="259">
        <v>8.8999999999999996E-2</v>
      </c>
      <c r="AP6" s="259">
        <v>9.8000000000000004E-2</v>
      </c>
      <c r="AQ6" s="259">
        <v>0.1</v>
      </c>
      <c r="AR6" s="259">
        <v>0.106</v>
      </c>
      <c r="AS6" s="259">
        <v>0.111</v>
      </c>
    </row>
    <row r="7" spans="1:47" s="259" customFormat="1">
      <c r="A7" s="259" t="s">
        <v>59</v>
      </c>
      <c r="B7" s="259" t="s">
        <v>60</v>
      </c>
      <c r="C7" s="262">
        <v>46.866766666766672</v>
      </c>
      <c r="D7" s="262">
        <v>-71.649899999900001</v>
      </c>
      <c r="E7" s="263">
        <f>IF(OR(C7="",D7=""),"",ACOS((SIN(RADIANS(C7)) * SIN(RADIANS('Hydrologie-Méthode rationnelle'!$C$22))) + (COS(RADIANS(C7)) * COS(RADIANS('Hydrologie-Méthode rationnelle'!$C$22))) * (COS(RADIANS(D7) - RADIANS('Hydrologie-Méthode rationnelle'!$C$23)))) * 6371)</f>
        <v>8625.4127220785867</v>
      </c>
      <c r="F7" s="259">
        <v>166</v>
      </c>
      <c r="G7" s="259" t="s">
        <v>61</v>
      </c>
      <c r="H7" s="259" t="s">
        <v>62</v>
      </c>
      <c r="I7" s="259" t="s">
        <v>293</v>
      </c>
      <c r="J7" s="259">
        <v>36.017000000000003</v>
      </c>
      <c r="K7" s="259">
        <v>20.54</v>
      </c>
      <c r="L7" s="259">
        <v>26.577999999999999</v>
      </c>
      <c r="M7" s="259">
        <v>30.550999999999998</v>
      </c>
      <c r="N7" s="259">
        <v>34.35</v>
      </c>
      <c r="O7" s="259">
        <v>35.552999999999997</v>
      </c>
      <c r="P7" s="259">
        <v>39.256</v>
      </c>
      <c r="Q7" s="259">
        <v>42.926000000000002</v>
      </c>
      <c r="R7" s="259">
        <v>-0.66900000000000004</v>
      </c>
      <c r="S7" s="259">
        <v>-0.69499999999999995</v>
      </c>
      <c r="T7" s="259">
        <v>-0.70699999999999996</v>
      </c>
      <c r="U7" s="259">
        <v>-0.71599999999999997</v>
      </c>
      <c r="V7" s="259">
        <v>-0.71899999999999997</v>
      </c>
      <c r="W7" s="259">
        <v>-0.72599999999999998</v>
      </c>
      <c r="X7" s="259">
        <v>-0.73099999999999998</v>
      </c>
      <c r="Y7" s="259">
        <v>22.003</v>
      </c>
      <c r="Z7" s="259">
        <v>28.335999999999999</v>
      </c>
      <c r="AA7" s="259">
        <v>32.542999999999999</v>
      </c>
      <c r="AB7" s="259">
        <v>36.582000000000001</v>
      </c>
      <c r="AC7" s="259">
        <v>37.865000000000002</v>
      </c>
      <c r="AD7" s="259">
        <v>41.817</v>
      </c>
      <c r="AE7" s="259">
        <v>45.743000000000002</v>
      </c>
      <c r="AF7" s="259">
        <v>-0.70299999999999996</v>
      </c>
      <c r="AG7" s="259">
        <v>-0.72799999999999998</v>
      </c>
      <c r="AH7" s="259">
        <v>-0.73899999999999999</v>
      </c>
      <c r="AI7" s="259">
        <v>-0.748</v>
      </c>
      <c r="AJ7" s="259">
        <v>-0.751</v>
      </c>
      <c r="AK7" s="259">
        <v>-0.75800000000000001</v>
      </c>
      <c r="AL7" s="259">
        <v>-0.76300000000000001</v>
      </c>
      <c r="AM7" s="259">
        <v>3.5000000000000003E-2</v>
      </c>
      <c r="AN7" s="259">
        <v>3.1E-2</v>
      </c>
      <c r="AO7" s="259">
        <v>0.03</v>
      </c>
      <c r="AP7" s="259">
        <v>2.9000000000000001E-2</v>
      </c>
      <c r="AQ7" s="259">
        <v>2.9000000000000001E-2</v>
      </c>
      <c r="AR7" s="259">
        <v>2.9000000000000001E-2</v>
      </c>
      <c r="AS7" s="259">
        <v>2.9000000000000001E-2</v>
      </c>
      <c r="AU7" s="264"/>
    </row>
    <row r="8" spans="1:47" s="259" customFormat="1">
      <c r="A8" s="259" t="s">
        <v>343</v>
      </c>
      <c r="B8" s="259" t="s">
        <v>63</v>
      </c>
      <c r="C8" s="262">
        <v>46.016766666766678</v>
      </c>
      <c r="D8" s="262">
        <v>-73.416566666566666</v>
      </c>
      <c r="E8" s="263">
        <f>IF(OR(C8="",D8=""),"",ACOS((SIN(RADIANS(C8)) * SIN(RADIANS('Hydrologie-Méthode rationnelle'!$C$22))) + (COS(RADIANS(C8)) * COS(RADIANS('Hydrologie-Méthode rationnelle'!$C$22))) * (COS(RADIANS(D8) - RADIANS('Hydrologie-Méthode rationnelle'!$C$23)))) * 6371)</f>
        <v>8736.3731465643305</v>
      </c>
      <c r="F8" s="259">
        <v>56</v>
      </c>
      <c r="G8" s="259" t="s">
        <v>64</v>
      </c>
      <c r="H8" s="259" t="s">
        <v>55</v>
      </c>
      <c r="I8" s="259" t="s">
        <v>294</v>
      </c>
      <c r="J8" s="259">
        <v>49.061999999999998</v>
      </c>
      <c r="K8" s="259">
        <v>20.25</v>
      </c>
      <c r="L8" s="259">
        <v>27.698</v>
      </c>
      <c r="M8" s="259">
        <v>32.61</v>
      </c>
      <c r="N8" s="259">
        <v>37.314</v>
      </c>
      <c r="O8" s="259">
        <v>38.805</v>
      </c>
      <c r="P8" s="259">
        <v>43.396000000000001</v>
      </c>
      <c r="Q8" s="259">
        <v>47.95</v>
      </c>
      <c r="R8" s="259">
        <v>-0.67100000000000004</v>
      </c>
      <c r="S8" s="259">
        <v>-0.68700000000000006</v>
      </c>
      <c r="T8" s="259">
        <v>-0.69399999999999995</v>
      </c>
      <c r="U8" s="259">
        <v>-0.69899999999999995</v>
      </c>
      <c r="V8" s="259">
        <v>-0.7</v>
      </c>
      <c r="W8" s="259">
        <v>-0.70299999999999996</v>
      </c>
      <c r="X8" s="259">
        <v>-0.70599999999999996</v>
      </c>
      <c r="Y8" s="259">
        <v>25.382999999999999</v>
      </c>
      <c r="Z8" s="259">
        <v>38.021000000000001</v>
      </c>
      <c r="AA8" s="259">
        <v>46.661999999999999</v>
      </c>
      <c r="AB8" s="259">
        <v>55.078000000000003</v>
      </c>
      <c r="AC8" s="259">
        <v>57.768000000000001</v>
      </c>
      <c r="AD8" s="259">
        <v>66.099000000000004</v>
      </c>
      <c r="AE8" s="259">
        <v>74.426000000000002</v>
      </c>
      <c r="AF8" s="259">
        <v>-0.78</v>
      </c>
      <c r="AG8" s="259">
        <v>-0.83699999999999997</v>
      </c>
      <c r="AH8" s="259">
        <v>-0.86199999999999999</v>
      </c>
      <c r="AI8" s="259">
        <v>-0.88100000000000001</v>
      </c>
      <c r="AJ8" s="259">
        <v>-0.88600000000000001</v>
      </c>
      <c r="AK8" s="259">
        <v>-0.89900000000000002</v>
      </c>
      <c r="AL8" s="259">
        <v>-0.91</v>
      </c>
      <c r="AM8" s="259">
        <v>0.128</v>
      </c>
      <c r="AN8" s="259">
        <v>0.184</v>
      </c>
      <c r="AO8" s="259">
        <v>0.21</v>
      </c>
      <c r="AP8" s="259">
        <v>0.23</v>
      </c>
      <c r="AQ8" s="259">
        <v>0.23599999999999999</v>
      </c>
      <c r="AR8" s="259">
        <v>0.251</v>
      </c>
      <c r="AS8" s="259">
        <v>0.26300000000000001</v>
      </c>
    </row>
    <row r="9" spans="1:47" s="259" customFormat="1">
      <c r="A9" s="259" t="s">
        <v>344</v>
      </c>
      <c r="B9" s="259" t="s">
        <v>65</v>
      </c>
      <c r="C9" s="262">
        <v>45.800100000100002</v>
      </c>
      <c r="D9" s="262">
        <v>-73.433233333233332</v>
      </c>
      <c r="E9" s="263">
        <f>IF(OR(C9="",D9=""),"",ACOS((SIN(RADIANS(C9)) * SIN(RADIANS('Hydrologie-Méthode rationnelle'!$C$22))) + (COS(RADIANS(C9)) * COS(RADIANS('Hydrologie-Méthode rationnelle'!$C$22))) * (COS(RADIANS(D9) - RADIANS('Hydrologie-Méthode rationnelle'!$C$23)))) * 6371)</f>
        <v>8732.5976754247622</v>
      </c>
      <c r="F9" s="259">
        <v>21</v>
      </c>
      <c r="G9" s="259" t="s">
        <v>66</v>
      </c>
      <c r="H9" s="259" t="s">
        <v>292</v>
      </c>
      <c r="I9" s="259" t="s">
        <v>297</v>
      </c>
      <c r="J9" s="259">
        <v>43.276000000000003</v>
      </c>
      <c r="K9" s="259">
        <v>20.861000000000001</v>
      </c>
      <c r="L9" s="259">
        <v>28.169</v>
      </c>
      <c r="M9" s="259">
        <v>33.003</v>
      </c>
      <c r="N9" s="259">
        <v>37.637999999999998</v>
      </c>
      <c r="O9" s="259">
        <v>39.109000000000002</v>
      </c>
      <c r="P9" s="259">
        <v>43.637</v>
      </c>
      <c r="Q9" s="259">
        <v>48.131999999999998</v>
      </c>
      <c r="R9" s="259">
        <v>-0.68400000000000005</v>
      </c>
      <c r="S9" s="259">
        <v>-0.68400000000000005</v>
      </c>
      <c r="T9" s="259">
        <v>-0.68500000000000005</v>
      </c>
      <c r="U9" s="259">
        <v>-0.68500000000000005</v>
      </c>
      <c r="V9" s="259">
        <v>-0.68500000000000005</v>
      </c>
      <c r="W9" s="259">
        <v>-0.68500000000000005</v>
      </c>
      <c r="X9" s="259">
        <v>-0.68500000000000005</v>
      </c>
      <c r="Y9" s="259">
        <v>23.346</v>
      </c>
      <c r="Z9" s="259">
        <v>32.439</v>
      </c>
      <c r="AA9" s="259">
        <v>38.500999999999998</v>
      </c>
      <c r="AB9" s="259">
        <v>44.335999999999999</v>
      </c>
      <c r="AC9" s="259">
        <v>46.19</v>
      </c>
      <c r="AD9" s="259">
        <v>51.908000000000001</v>
      </c>
      <c r="AE9" s="259">
        <v>57.593000000000004</v>
      </c>
      <c r="AF9" s="259">
        <v>-0.74</v>
      </c>
      <c r="AG9" s="259">
        <v>-0.754</v>
      </c>
      <c r="AH9" s="259">
        <v>-0.76100000000000001</v>
      </c>
      <c r="AI9" s="259">
        <v>-0.76600000000000001</v>
      </c>
      <c r="AJ9" s="259">
        <v>-0.76700000000000002</v>
      </c>
      <c r="AK9" s="259">
        <v>-0.77</v>
      </c>
      <c r="AL9" s="259">
        <v>-0.77300000000000002</v>
      </c>
      <c r="AM9" s="259">
        <v>5.7000000000000002E-2</v>
      </c>
      <c r="AN9" s="259">
        <v>7.2999999999999995E-2</v>
      </c>
      <c r="AO9" s="259">
        <v>8.1000000000000003E-2</v>
      </c>
      <c r="AP9" s="259">
        <v>8.5999999999999993E-2</v>
      </c>
      <c r="AQ9" s="259">
        <v>8.7999999999999995E-2</v>
      </c>
      <c r="AR9" s="259">
        <v>9.1999999999999998E-2</v>
      </c>
      <c r="AS9" s="259">
        <v>9.6000000000000002E-2</v>
      </c>
    </row>
    <row r="10" spans="1:47" s="259" customFormat="1">
      <c r="A10" s="259" t="s">
        <v>67</v>
      </c>
      <c r="B10" s="259" t="s">
        <v>68</v>
      </c>
      <c r="C10" s="262">
        <v>45.500100000100005</v>
      </c>
      <c r="D10" s="262">
        <v>-74.066566666566658</v>
      </c>
      <c r="E10" s="263">
        <f>IF(OR(C10="",D10=""),"",ACOS((SIN(RADIANS(C10)) * SIN(RADIANS('Hydrologie-Méthode rationnelle'!$C$22))) + (COS(RADIANS(C10)) * COS(RADIANS('Hydrologie-Méthode rationnelle'!$C$22))) * (COS(RADIANS(D10) - RADIANS('Hydrologie-Méthode rationnelle'!$C$23)))) * 6371)</f>
        <v>8773.9837362353028</v>
      </c>
      <c r="F10" s="259">
        <v>91</v>
      </c>
      <c r="G10" s="259" t="s">
        <v>69</v>
      </c>
      <c r="H10" s="259" t="s">
        <v>55</v>
      </c>
      <c r="I10" s="259" t="s">
        <v>298</v>
      </c>
      <c r="J10" s="259">
        <v>36</v>
      </c>
      <c r="K10" s="259">
        <v>19.465</v>
      </c>
      <c r="L10" s="259">
        <v>25.68</v>
      </c>
      <c r="M10" s="259">
        <v>29.789000000000001</v>
      </c>
      <c r="N10" s="259">
        <v>33.728000000000002</v>
      </c>
      <c r="O10" s="259">
        <v>34.976999999999997</v>
      </c>
      <c r="P10" s="259">
        <v>38.823999999999998</v>
      </c>
      <c r="Q10" s="259">
        <v>42.640999999999998</v>
      </c>
      <c r="R10" s="259">
        <v>-0.67800000000000005</v>
      </c>
      <c r="S10" s="259">
        <v>-0.68100000000000005</v>
      </c>
      <c r="T10" s="259">
        <v>-0.68200000000000005</v>
      </c>
      <c r="U10" s="259">
        <v>-0.68300000000000005</v>
      </c>
      <c r="V10" s="259">
        <v>-0.68300000000000005</v>
      </c>
      <c r="W10" s="259">
        <v>-0.68400000000000005</v>
      </c>
      <c r="X10" s="259">
        <v>-0.68400000000000005</v>
      </c>
      <c r="Y10" s="259">
        <v>21.527999999999999</v>
      </c>
      <c r="Z10" s="259">
        <v>28.805</v>
      </c>
      <c r="AA10" s="259">
        <v>33.607999999999997</v>
      </c>
      <c r="AB10" s="259">
        <v>38.209000000000003</v>
      </c>
      <c r="AC10" s="259">
        <v>39.667999999999999</v>
      </c>
      <c r="AD10" s="259">
        <v>44.158999999999999</v>
      </c>
      <c r="AE10" s="259">
        <v>48.615000000000002</v>
      </c>
      <c r="AF10" s="259">
        <v>-0.72799999999999998</v>
      </c>
      <c r="AG10" s="259">
        <v>-0.73799999999999999</v>
      </c>
      <c r="AH10" s="259">
        <v>-0.74199999999999999</v>
      </c>
      <c r="AI10" s="259">
        <v>-0.745</v>
      </c>
      <c r="AJ10" s="259">
        <v>-0.745</v>
      </c>
      <c r="AK10" s="259">
        <v>-0.747</v>
      </c>
      <c r="AL10" s="259">
        <v>-0.749</v>
      </c>
      <c r="AM10" s="259">
        <v>5.0999999999999997E-2</v>
      </c>
      <c r="AN10" s="259">
        <v>5.8999999999999997E-2</v>
      </c>
      <c r="AO10" s="259">
        <v>6.2E-2</v>
      </c>
      <c r="AP10" s="259">
        <v>6.4000000000000001E-2</v>
      </c>
      <c r="AQ10" s="259">
        <v>6.5000000000000002E-2</v>
      </c>
      <c r="AR10" s="259">
        <v>6.6000000000000003E-2</v>
      </c>
      <c r="AS10" s="259">
        <v>6.8000000000000005E-2</v>
      </c>
    </row>
    <row r="11" spans="1:47" s="259" customFormat="1">
      <c r="A11" s="259" t="s">
        <v>70</v>
      </c>
      <c r="B11" s="259" t="s">
        <v>71</v>
      </c>
      <c r="C11" s="262">
        <v>46.800100000100002</v>
      </c>
      <c r="D11" s="262">
        <v>-71.216566666566663</v>
      </c>
      <c r="E11" s="263">
        <f>IF(OR(C11="",D11=""),"",ACOS((SIN(RADIANS(C11)) * SIN(RADIANS('Hydrologie-Méthode rationnelle'!$C$22))) + (COS(RADIANS(C11)) * COS(RADIANS('Hydrologie-Méthode rationnelle'!$C$22))) * (COS(RADIANS(D11) - RADIANS('Hydrologie-Méthode rationnelle'!$C$23)))) * 6371)</f>
        <v>8591.6316267646762</v>
      </c>
      <c r="F11" s="259">
        <v>90</v>
      </c>
      <c r="G11" s="259" t="s">
        <v>72</v>
      </c>
      <c r="H11" s="259" t="s">
        <v>73</v>
      </c>
      <c r="I11" s="259" t="s">
        <v>299</v>
      </c>
      <c r="J11" s="259">
        <v>41.271999999999998</v>
      </c>
      <c r="K11" s="259">
        <v>20.103000000000002</v>
      </c>
      <c r="L11" s="259">
        <v>27.995999999999999</v>
      </c>
      <c r="M11" s="259">
        <v>33.183</v>
      </c>
      <c r="N11" s="259">
        <v>38.143000000000001</v>
      </c>
      <c r="O11" s="259">
        <v>39.715000000000003</v>
      </c>
      <c r="P11" s="259">
        <v>44.55</v>
      </c>
      <c r="Q11" s="259">
        <v>49.344000000000001</v>
      </c>
      <c r="R11" s="259">
        <v>-0.63900000000000001</v>
      </c>
      <c r="S11" s="259">
        <v>-0.61299999999999999</v>
      </c>
      <c r="T11" s="259">
        <v>-0.60299999999999998</v>
      </c>
      <c r="U11" s="259">
        <v>-0.59599999999999997</v>
      </c>
      <c r="V11" s="259">
        <v>-0.59399999999999997</v>
      </c>
      <c r="W11" s="259">
        <v>-0.58899999999999997</v>
      </c>
      <c r="X11" s="259">
        <v>-0.58499999999999996</v>
      </c>
      <c r="Y11" s="259">
        <v>20.872</v>
      </c>
      <c r="Z11" s="259">
        <v>29.56</v>
      </c>
      <c r="AA11" s="259">
        <v>35.316000000000003</v>
      </c>
      <c r="AB11" s="259">
        <v>40.847000000000001</v>
      </c>
      <c r="AC11" s="259">
        <v>42.603000000000002</v>
      </c>
      <c r="AD11" s="259">
        <v>48.018000000000001</v>
      </c>
      <c r="AE11" s="259">
        <v>53.402000000000001</v>
      </c>
      <c r="AF11" s="259">
        <v>-0.65800000000000003</v>
      </c>
      <c r="AG11" s="259">
        <v>-0.64100000000000001</v>
      </c>
      <c r="AH11" s="259">
        <v>-0.63400000000000001</v>
      </c>
      <c r="AI11" s="259">
        <v>-0.63</v>
      </c>
      <c r="AJ11" s="259">
        <v>-0.629</v>
      </c>
      <c r="AK11" s="259">
        <v>-0.626</v>
      </c>
      <c r="AL11" s="259">
        <v>-0.624</v>
      </c>
      <c r="AM11" s="259">
        <v>1.9E-2</v>
      </c>
      <c r="AN11" s="259">
        <v>2.9000000000000001E-2</v>
      </c>
      <c r="AO11" s="259">
        <v>3.5000000000000003E-2</v>
      </c>
      <c r="AP11" s="259">
        <v>3.9E-2</v>
      </c>
      <c r="AQ11" s="259">
        <v>0.04</v>
      </c>
      <c r="AR11" s="259">
        <v>4.2999999999999997E-2</v>
      </c>
      <c r="AS11" s="259">
        <v>4.5999999999999999E-2</v>
      </c>
    </row>
    <row r="12" spans="1:47" s="259" customFormat="1">
      <c r="A12" s="259" t="s">
        <v>345</v>
      </c>
      <c r="B12" s="259" t="s">
        <v>74</v>
      </c>
      <c r="C12" s="262">
        <v>46.716766666766674</v>
      </c>
      <c r="D12" s="262">
        <v>-72.066566666566658</v>
      </c>
      <c r="E12" s="263">
        <f>IF(OR(C12="",D12=""),"",ACOS((SIN(RADIANS(C12)) * SIN(RADIANS('Hydrologie-Méthode rationnelle'!$C$22))) + (COS(RADIANS(C12)) * COS(RADIANS('Hydrologie-Méthode rationnelle'!$C$22))) * (COS(RADIANS(D12) - RADIANS('Hydrologie-Méthode rationnelle'!$C$23)))) * 6371)</f>
        <v>8652.391375444573</v>
      </c>
      <c r="F12" s="259">
        <v>76</v>
      </c>
      <c r="G12" s="259" t="s">
        <v>69</v>
      </c>
      <c r="H12" s="259" t="s">
        <v>55</v>
      </c>
      <c r="I12" s="259" t="s">
        <v>300</v>
      </c>
      <c r="J12" s="259">
        <v>53.357999999999997</v>
      </c>
      <c r="K12" s="259">
        <v>21.324999999999999</v>
      </c>
      <c r="L12" s="259">
        <v>29.039000000000001</v>
      </c>
      <c r="M12" s="259">
        <v>34.130000000000003</v>
      </c>
      <c r="N12" s="259">
        <v>39.006999999999998</v>
      </c>
      <c r="O12" s="259">
        <v>40.554000000000002</v>
      </c>
      <c r="P12" s="259">
        <v>45.314</v>
      </c>
      <c r="Q12" s="259">
        <v>50.037999999999997</v>
      </c>
      <c r="R12" s="259">
        <v>-0.65300000000000002</v>
      </c>
      <c r="S12" s="259">
        <v>-0.65400000000000003</v>
      </c>
      <c r="T12" s="259">
        <v>-0.65400000000000003</v>
      </c>
      <c r="U12" s="259">
        <v>-0.65400000000000003</v>
      </c>
      <c r="V12" s="259">
        <v>-0.65500000000000003</v>
      </c>
      <c r="W12" s="259">
        <v>-0.65500000000000003</v>
      </c>
      <c r="X12" s="259">
        <v>-0.65500000000000003</v>
      </c>
      <c r="Y12" s="259">
        <v>26.550999999999998</v>
      </c>
      <c r="Z12" s="259">
        <v>39.991999999999997</v>
      </c>
      <c r="AA12" s="259">
        <v>49.412999999999997</v>
      </c>
      <c r="AB12" s="259">
        <v>58.72</v>
      </c>
      <c r="AC12" s="259">
        <v>61.716999999999999</v>
      </c>
      <c r="AD12" s="259">
        <v>71.058000000000007</v>
      </c>
      <c r="AE12" s="259">
        <v>80.465999999999994</v>
      </c>
      <c r="AF12" s="259">
        <v>-0.75900000000000001</v>
      </c>
      <c r="AG12" s="259">
        <v>-0.80500000000000005</v>
      </c>
      <c r="AH12" s="259">
        <v>-0.82699999999999996</v>
      </c>
      <c r="AI12" s="259">
        <v>-0.84399999999999997</v>
      </c>
      <c r="AJ12" s="259">
        <v>-0.84899999999999998</v>
      </c>
      <c r="AK12" s="259">
        <v>-0.86199999999999999</v>
      </c>
      <c r="AL12" s="259">
        <v>-0.873</v>
      </c>
      <c r="AM12" s="259">
        <v>0.127</v>
      </c>
      <c r="AN12" s="259">
        <v>0.19700000000000001</v>
      </c>
      <c r="AO12" s="259">
        <v>0.23499999999999999</v>
      </c>
      <c r="AP12" s="259">
        <v>0.26400000000000001</v>
      </c>
      <c r="AQ12" s="259">
        <v>0.27300000000000002</v>
      </c>
      <c r="AR12" s="259">
        <v>0.29599999999999999</v>
      </c>
      <c r="AS12" s="259">
        <v>0.316</v>
      </c>
    </row>
    <row r="13" spans="1:47" s="259" customFormat="1">
      <c r="A13" s="259" t="s">
        <v>346</v>
      </c>
      <c r="B13" s="259" t="s">
        <v>75</v>
      </c>
      <c r="C13" s="262">
        <v>46.716766666766674</v>
      </c>
      <c r="D13" s="262">
        <v>-71.499899999899995</v>
      </c>
      <c r="E13" s="263">
        <f>IF(OR(C13="",D13=""),"",ACOS((SIN(RADIANS(C13)) * SIN(RADIANS('Hydrologie-Méthode rationnelle'!$C$22))) + (COS(RADIANS(C13)) * COS(RADIANS('Hydrologie-Méthode rationnelle'!$C$22))) * (COS(RADIANS(D13) - RADIANS('Hydrologie-Méthode rationnelle'!$C$23)))) * 6371)</f>
        <v>8610.3800678246844</v>
      </c>
      <c r="F13" s="259">
        <v>57</v>
      </c>
      <c r="G13" s="259" t="s">
        <v>76</v>
      </c>
      <c r="H13" s="259" t="s">
        <v>77</v>
      </c>
      <c r="I13" s="259" t="s">
        <v>298</v>
      </c>
      <c r="J13" s="259">
        <v>37.792000000000002</v>
      </c>
      <c r="K13" s="259">
        <v>19.809000000000001</v>
      </c>
      <c r="L13" s="259">
        <v>25.725000000000001</v>
      </c>
      <c r="M13" s="259">
        <v>29.63</v>
      </c>
      <c r="N13" s="259">
        <v>33.371000000000002</v>
      </c>
      <c r="O13" s="259">
        <v>34.557000000000002</v>
      </c>
      <c r="P13" s="259">
        <v>38.209000000000003</v>
      </c>
      <c r="Q13" s="259">
        <v>41.831000000000003</v>
      </c>
      <c r="R13" s="259">
        <v>-0.65</v>
      </c>
      <c r="S13" s="259">
        <v>-0.66500000000000004</v>
      </c>
      <c r="T13" s="259">
        <v>-0.67100000000000004</v>
      </c>
      <c r="U13" s="259">
        <v>-0.67600000000000005</v>
      </c>
      <c r="V13" s="259">
        <v>-0.67800000000000005</v>
      </c>
      <c r="W13" s="259">
        <v>-0.68100000000000005</v>
      </c>
      <c r="X13" s="259">
        <v>-0.68400000000000005</v>
      </c>
      <c r="Y13" s="259">
        <v>22.666</v>
      </c>
      <c r="Z13" s="259">
        <v>30.920999999999999</v>
      </c>
      <c r="AA13" s="259">
        <v>36.468000000000004</v>
      </c>
      <c r="AB13" s="259">
        <v>41.83</v>
      </c>
      <c r="AC13" s="259">
        <v>43.536999999999999</v>
      </c>
      <c r="AD13" s="259">
        <v>48.811999999999998</v>
      </c>
      <c r="AE13" s="259">
        <v>54.067999999999998</v>
      </c>
      <c r="AF13" s="259">
        <v>-0.71699999999999997</v>
      </c>
      <c r="AG13" s="259">
        <v>-0.755</v>
      </c>
      <c r="AH13" s="259">
        <v>-0.77200000000000002</v>
      </c>
      <c r="AI13" s="259">
        <v>-0.78600000000000003</v>
      </c>
      <c r="AJ13" s="259">
        <v>-0.78900000000000003</v>
      </c>
      <c r="AK13" s="259">
        <v>-0.79900000000000004</v>
      </c>
      <c r="AL13" s="259">
        <v>-0.80800000000000005</v>
      </c>
      <c r="AM13" s="259">
        <v>7.3999999999999996E-2</v>
      </c>
      <c r="AN13" s="259">
        <v>0.10199999999999999</v>
      </c>
      <c r="AO13" s="259">
        <v>0.11600000000000001</v>
      </c>
      <c r="AP13" s="259">
        <v>0.126</v>
      </c>
      <c r="AQ13" s="259">
        <v>0.129</v>
      </c>
      <c r="AR13" s="259">
        <v>0.13800000000000001</v>
      </c>
      <c r="AS13" s="259">
        <v>0.14399999999999999</v>
      </c>
    </row>
    <row r="14" spans="1:47" s="259" customFormat="1">
      <c r="A14" s="259" t="s">
        <v>347</v>
      </c>
      <c r="B14" s="259" t="s">
        <v>78</v>
      </c>
      <c r="C14" s="262">
        <v>46.200100000100008</v>
      </c>
      <c r="D14" s="262">
        <v>-73.599899999899989</v>
      </c>
      <c r="E14" s="263">
        <f>IF(OR(C14="",D14=""),"",ACOS((SIN(RADIANS(C14)) * SIN(RADIANS('Hydrologie-Méthode rationnelle'!$C$22))) + (COS(RADIANS(C14)) * COS(RADIANS('Hydrologie-Méthode rationnelle'!$C$22))) * (COS(RADIANS(D14) - RADIANS('Hydrologie-Méthode rationnelle'!$C$23)))) * 6371)</f>
        <v>8754.4490308776094</v>
      </c>
      <c r="F14" s="259">
        <v>198</v>
      </c>
      <c r="G14" s="259" t="s">
        <v>79</v>
      </c>
      <c r="H14" s="259" t="s">
        <v>55</v>
      </c>
      <c r="I14" s="259" t="s">
        <v>301</v>
      </c>
      <c r="J14" s="259">
        <v>40.335999999999999</v>
      </c>
      <c r="K14" s="259">
        <v>19.847000000000001</v>
      </c>
      <c r="L14" s="259">
        <v>25.75</v>
      </c>
      <c r="M14" s="259">
        <v>29.655000000000001</v>
      </c>
      <c r="N14" s="259">
        <v>33.4</v>
      </c>
      <c r="O14" s="259">
        <v>34.588000000000001</v>
      </c>
      <c r="P14" s="259">
        <v>38.246000000000002</v>
      </c>
      <c r="Q14" s="259">
        <v>41.877000000000002</v>
      </c>
      <c r="R14" s="259">
        <v>-0.629</v>
      </c>
      <c r="S14" s="259">
        <v>-0.63</v>
      </c>
      <c r="T14" s="259">
        <v>-0.63</v>
      </c>
      <c r="U14" s="259">
        <v>-0.63100000000000001</v>
      </c>
      <c r="V14" s="259">
        <v>-0.63100000000000001</v>
      </c>
      <c r="W14" s="259">
        <v>-0.63100000000000001</v>
      </c>
      <c r="X14" s="259">
        <v>-0.63100000000000001</v>
      </c>
      <c r="Y14" s="259">
        <v>23.61</v>
      </c>
      <c r="Z14" s="259">
        <v>31.24</v>
      </c>
      <c r="AA14" s="259">
        <v>36.29</v>
      </c>
      <c r="AB14" s="259">
        <v>41.134</v>
      </c>
      <c r="AC14" s="259">
        <v>42.67</v>
      </c>
      <c r="AD14" s="259">
        <v>47.402000000000001</v>
      </c>
      <c r="AE14" s="259">
        <v>52.097999999999999</v>
      </c>
      <c r="AF14" s="259">
        <v>-0.71399999999999997</v>
      </c>
      <c r="AG14" s="259">
        <v>-0.72399999999999998</v>
      </c>
      <c r="AH14" s="259">
        <v>-0.72799999999999998</v>
      </c>
      <c r="AI14" s="259">
        <v>-0.73199999999999998</v>
      </c>
      <c r="AJ14" s="259">
        <v>-0.73199999999999998</v>
      </c>
      <c r="AK14" s="259">
        <v>-0.73499999999999999</v>
      </c>
      <c r="AL14" s="259">
        <v>-0.73699999999999999</v>
      </c>
      <c r="AM14" s="259">
        <v>0.10199999999999999</v>
      </c>
      <c r="AN14" s="259">
        <v>0.115</v>
      </c>
      <c r="AO14" s="259">
        <v>0.12</v>
      </c>
      <c r="AP14" s="259">
        <v>0.125</v>
      </c>
      <c r="AQ14" s="259">
        <v>0.126</v>
      </c>
      <c r="AR14" s="259">
        <v>0.129</v>
      </c>
      <c r="AS14" s="259">
        <v>0.13200000000000001</v>
      </c>
    </row>
    <row r="15" spans="1:47" s="259" customFormat="1">
      <c r="A15" s="259" t="s">
        <v>348</v>
      </c>
      <c r="B15" s="259" t="s">
        <v>80</v>
      </c>
      <c r="C15" s="262">
        <v>45.566766666766675</v>
      </c>
      <c r="D15" s="262">
        <v>-74.049899999899992</v>
      </c>
      <c r="E15" s="263">
        <f>IF(OR(C15="",D15=""),"",ACOS((SIN(RADIANS(C15)) * SIN(RADIANS('Hydrologie-Méthode rationnelle'!$C$22))) + (COS(RADIANS(C15)) * COS(RADIANS('Hydrologie-Méthode rationnelle'!$C$22))) * (COS(RADIANS(D15) - RADIANS('Hydrologie-Méthode rationnelle'!$C$23)))) * 6371)</f>
        <v>8774.1924236462055</v>
      </c>
      <c r="F15" s="259">
        <v>53</v>
      </c>
      <c r="G15" s="259" t="s">
        <v>54</v>
      </c>
      <c r="H15" s="259" t="s">
        <v>58</v>
      </c>
      <c r="I15" s="259" t="s">
        <v>301</v>
      </c>
      <c r="J15" s="259">
        <v>38.011000000000003</v>
      </c>
      <c r="K15" s="259">
        <v>18.934000000000001</v>
      </c>
      <c r="L15" s="259">
        <v>25.42</v>
      </c>
      <c r="M15" s="259">
        <v>29.687999999999999</v>
      </c>
      <c r="N15" s="259">
        <v>33.771999999999998</v>
      </c>
      <c r="O15" s="259">
        <v>35.066000000000003</v>
      </c>
      <c r="P15" s="259">
        <v>39.048000000000002</v>
      </c>
      <c r="Q15" s="259">
        <v>42.997</v>
      </c>
      <c r="R15" s="259">
        <v>-0.65700000000000003</v>
      </c>
      <c r="S15" s="259">
        <v>-0.68300000000000005</v>
      </c>
      <c r="T15" s="259">
        <v>-0.69299999999999995</v>
      </c>
      <c r="U15" s="259">
        <v>-0.70099999999999996</v>
      </c>
      <c r="V15" s="259">
        <v>-0.70299999999999996</v>
      </c>
      <c r="W15" s="259">
        <v>-0.70899999999999996</v>
      </c>
      <c r="X15" s="259">
        <v>-0.71399999999999997</v>
      </c>
      <c r="Y15" s="259">
        <v>23.756</v>
      </c>
      <c r="Z15" s="259">
        <v>31.126999999999999</v>
      </c>
      <c r="AA15" s="259">
        <v>36.064999999999998</v>
      </c>
      <c r="AB15" s="259">
        <v>40.822000000000003</v>
      </c>
      <c r="AC15" s="259">
        <v>42.334000000000003</v>
      </c>
      <c r="AD15" s="259">
        <v>46.997999999999998</v>
      </c>
      <c r="AE15" s="259">
        <v>51.634999999999998</v>
      </c>
      <c r="AF15" s="259">
        <v>-0.76700000000000002</v>
      </c>
      <c r="AG15" s="259">
        <v>-0.78100000000000003</v>
      </c>
      <c r="AH15" s="259">
        <v>-0.78800000000000003</v>
      </c>
      <c r="AI15" s="259">
        <v>-0.79400000000000004</v>
      </c>
      <c r="AJ15" s="259">
        <v>-0.79600000000000004</v>
      </c>
      <c r="AK15" s="259">
        <v>-0.8</v>
      </c>
      <c r="AL15" s="259">
        <v>-0.80300000000000005</v>
      </c>
      <c r="AM15" s="259">
        <v>0.13100000000000001</v>
      </c>
      <c r="AN15" s="259">
        <v>0.11</v>
      </c>
      <c r="AO15" s="259">
        <v>0.104</v>
      </c>
      <c r="AP15" s="259">
        <v>9.9000000000000005E-2</v>
      </c>
      <c r="AQ15" s="259">
        <v>9.8000000000000004E-2</v>
      </c>
      <c r="AR15" s="259">
        <v>9.6000000000000002E-2</v>
      </c>
      <c r="AS15" s="259">
        <v>9.4E-2</v>
      </c>
    </row>
    <row r="16" spans="1:47" s="259" customFormat="1">
      <c r="A16" s="259" t="s">
        <v>349</v>
      </c>
      <c r="B16" s="259" t="s">
        <v>81</v>
      </c>
      <c r="C16" s="262">
        <v>46.850100000100007</v>
      </c>
      <c r="D16" s="262">
        <v>-71.616566666566655</v>
      </c>
      <c r="E16" s="263">
        <f>IF(OR(C16="",D16=""),"",ACOS((SIN(RADIANS(C16)) * SIN(RADIANS('Hydrologie-Méthode rationnelle'!$C$22))) + (COS(RADIANS(C16)) * COS(RADIANS('Hydrologie-Méthode rationnelle'!$C$22))) * (COS(RADIANS(D16) - RADIANS('Hydrologie-Méthode rationnelle'!$C$23)))) * 6371)</f>
        <v>8622.5131170972272</v>
      </c>
      <c r="F16" s="259">
        <v>152</v>
      </c>
      <c r="G16" s="259" t="s">
        <v>82</v>
      </c>
      <c r="H16" s="259" t="s">
        <v>58</v>
      </c>
      <c r="I16" s="259" t="s">
        <v>294</v>
      </c>
      <c r="J16" s="259">
        <v>38.399000000000001</v>
      </c>
      <c r="K16" s="259">
        <v>20.268999999999998</v>
      </c>
      <c r="L16" s="259">
        <v>26.478999999999999</v>
      </c>
      <c r="M16" s="259">
        <v>30.571000000000002</v>
      </c>
      <c r="N16" s="259">
        <v>34.488999999999997</v>
      </c>
      <c r="O16" s="259">
        <v>35.729999999999997</v>
      </c>
      <c r="P16" s="259">
        <v>39.552</v>
      </c>
      <c r="Q16" s="259">
        <v>43.341999999999999</v>
      </c>
      <c r="R16" s="259">
        <v>-0.67200000000000004</v>
      </c>
      <c r="S16" s="259">
        <v>-0.69199999999999995</v>
      </c>
      <c r="T16" s="259">
        <v>-0.7</v>
      </c>
      <c r="U16" s="259">
        <v>-0.70599999999999996</v>
      </c>
      <c r="V16" s="259">
        <v>-0.70799999999999996</v>
      </c>
      <c r="W16" s="259">
        <v>-0.71199999999999997</v>
      </c>
      <c r="X16" s="259">
        <v>-0.71599999999999997</v>
      </c>
      <c r="Y16" s="259">
        <v>23.074999999999999</v>
      </c>
      <c r="Z16" s="259">
        <v>29.117000000000001</v>
      </c>
      <c r="AA16" s="259">
        <v>33.165999999999997</v>
      </c>
      <c r="AB16" s="259">
        <v>37.069000000000003</v>
      </c>
      <c r="AC16" s="259">
        <v>38.308999999999997</v>
      </c>
      <c r="AD16" s="259">
        <v>42.136000000000003</v>
      </c>
      <c r="AE16" s="259">
        <v>45.94</v>
      </c>
      <c r="AF16" s="259">
        <v>-0.73699999999999999</v>
      </c>
      <c r="AG16" s="259">
        <v>-0.73899999999999999</v>
      </c>
      <c r="AH16" s="259">
        <v>-0.74099999999999999</v>
      </c>
      <c r="AI16" s="259">
        <v>-0.74299999999999999</v>
      </c>
      <c r="AJ16" s="259">
        <v>-0.74299999999999999</v>
      </c>
      <c r="AK16" s="259">
        <v>-0.74399999999999999</v>
      </c>
      <c r="AL16" s="259">
        <v>-0.745</v>
      </c>
      <c r="AM16" s="259">
        <v>6.8000000000000005E-2</v>
      </c>
      <c r="AN16" s="259">
        <v>4.7E-2</v>
      </c>
      <c r="AO16" s="259">
        <v>3.9E-2</v>
      </c>
      <c r="AP16" s="259">
        <v>3.4000000000000002E-2</v>
      </c>
      <c r="AQ16" s="259">
        <v>3.3000000000000002E-2</v>
      </c>
      <c r="AR16" s="259">
        <v>0.03</v>
      </c>
      <c r="AS16" s="259">
        <v>2.7E-2</v>
      </c>
    </row>
    <row r="17" spans="1:45" s="259" customFormat="1">
      <c r="A17" s="259" t="s">
        <v>350</v>
      </c>
      <c r="B17" s="259" t="s">
        <v>83</v>
      </c>
      <c r="C17" s="262">
        <v>46.316766666766675</v>
      </c>
      <c r="D17" s="262">
        <v>-74.199899999899998</v>
      </c>
      <c r="E17" s="263">
        <f>IF(OR(C17="",D17=""),"",ACOS((SIN(RADIANS(C17)) * SIN(RADIANS('Hydrologie-Méthode rationnelle'!$C$22))) + (COS(RADIANS(C17)) * COS(RADIANS('Hydrologie-Méthode rationnelle'!$C$22))) * (COS(RADIANS(D17) - RADIANS('Hydrologie-Méthode rationnelle'!$C$23)))) * 6371)</f>
        <v>8802.2543144283227</v>
      </c>
      <c r="F17" s="259">
        <v>388</v>
      </c>
      <c r="G17" s="259" t="s">
        <v>84</v>
      </c>
      <c r="H17" s="259" t="s">
        <v>51</v>
      </c>
      <c r="I17" s="259" t="s">
        <v>294</v>
      </c>
      <c r="J17" s="259">
        <v>37.624000000000002</v>
      </c>
      <c r="K17" s="259">
        <v>18.986000000000001</v>
      </c>
      <c r="L17" s="259">
        <v>24.539000000000001</v>
      </c>
      <c r="M17" s="259">
        <v>28.204999999999998</v>
      </c>
      <c r="N17" s="259">
        <v>31.716999999999999</v>
      </c>
      <c r="O17" s="259">
        <v>32.83</v>
      </c>
      <c r="P17" s="259">
        <v>36.258000000000003</v>
      </c>
      <c r="Q17" s="259">
        <v>39.658999999999999</v>
      </c>
      <c r="R17" s="259">
        <v>-0.66400000000000003</v>
      </c>
      <c r="S17" s="259">
        <v>-0.67500000000000004</v>
      </c>
      <c r="T17" s="259">
        <v>-0.68</v>
      </c>
      <c r="U17" s="259">
        <v>-0.68400000000000005</v>
      </c>
      <c r="V17" s="259">
        <v>-0.68500000000000005</v>
      </c>
      <c r="W17" s="259">
        <v>-0.68799999999999994</v>
      </c>
      <c r="X17" s="259">
        <v>-0.69</v>
      </c>
      <c r="Y17" s="259">
        <v>21.545999999999999</v>
      </c>
      <c r="Z17" s="259">
        <v>29.341000000000001</v>
      </c>
      <c r="AA17" s="259">
        <v>34.57</v>
      </c>
      <c r="AB17" s="259">
        <v>39.616</v>
      </c>
      <c r="AC17" s="259">
        <v>41.222000000000001</v>
      </c>
      <c r="AD17" s="259">
        <v>46.179000000000002</v>
      </c>
      <c r="AE17" s="259">
        <v>51.113999999999997</v>
      </c>
      <c r="AF17" s="259">
        <v>-0.72699999999999998</v>
      </c>
      <c r="AG17" s="259">
        <v>-0.76300000000000001</v>
      </c>
      <c r="AH17" s="259">
        <v>-0.77900000000000003</v>
      </c>
      <c r="AI17" s="259">
        <v>-0.79200000000000004</v>
      </c>
      <c r="AJ17" s="259">
        <v>-0.79500000000000004</v>
      </c>
      <c r="AK17" s="259">
        <v>-0.80500000000000005</v>
      </c>
      <c r="AL17" s="259">
        <v>-0.81200000000000006</v>
      </c>
      <c r="AM17" s="259">
        <v>6.7000000000000004E-2</v>
      </c>
      <c r="AN17" s="259">
        <v>9.7000000000000003E-2</v>
      </c>
      <c r="AO17" s="259">
        <v>0.111</v>
      </c>
      <c r="AP17" s="259">
        <v>0.123</v>
      </c>
      <c r="AQ17" s="259">
        <v>0.126</v>
      </c>
      <c r="AR17" s="259">
        <v>0.13400000000000001</v>
      </c>
      <c r="AS17" s="259">
        <v>0.14099999999999999</v>
      </c>
    </row>
    <row r="18" spans="1:45" s="259" customFormat="1">
      <c r="A18" s="259" t="s">
        <v>351</v>
      </c>
      <c r="B18" s="259" t="s">
        <v>85</v>
      </c>
      <c r="C18" s="262">
        <v>46.750100000100005</v>
      </c>
      <c r="D18" s="262">
        <v>-71.266566666566661</v>
      </c>
      <c r="E18" s="263">
        <f>IF(OR(C18="",D18=""),"",ACOS((SIN(RADIANS(C18)) * SIN(RADIANS('Hydrologie-Méthode rationnelle'!$C$22))) + (COS(RADIANS(C18)) * COS(RADIANS('Hydrologie-Méthode rationnelle'!$C$22))) * (COS(RADIANS(D18) - RADIANS('Hydrologie-Méthode rationnelle'!$C$23)))) * 6371)</f>
        <v>8593.9922156363809</v>
      </c>
      <c r="F18" s="259">
        <v>45</v>
      </c>
      <c r="G18" s="259" t="s">
        <v>69</v>
      </c>
      <c r="H18" s="259" t="s">
        <v>86</v>
      </c>
      <c r="I18" s="259" t="s">
        <v>302</v>
      </c>
      <c r="J18" s="259">
        <v>35.942999999999998</v>
      </c>
      <c r="K18" s="259">
        <v>17.620999999999999</v>
      </c>
      <c r="L18" s="259">
        <v>22.201000000000001</v>
      </c>
      <c r="M18" s="259">
        <v>25.210999999999999</v>
      </c>
      <c r="N18" s="259">
        <v>28.088000000000001</v>
      </c>
      <c r="O18" s="259">
        <v>28.998999999999999</v>
      </c>
      <c r="P18" s="259">
        <v>31.800999999999998</v>
      </c>
      <c r="Q18" s="259">
        <v>34.578000000000003</v>
      </c>
      <c r="R18" s="259">
        <v>-0.60599999999999998</v>
      </c>
      <c r="S18" s="259">
        <v>-0.59599999999999997</v>
      </c>
      <c r="T18" s="259">
        <v>-0.59099999999999997</v>
      </c>
      <c r="U18" s="259">
        <v>-0.58699999999999997</v>
      </c>
      <c r="V18" s="259">
        <v>-0.58599999999999997</v>
      </c>
      <c r="W18" s="259">
        <v>-0.58299999999999996</v>
      </c>
      <c r="X18" s="259">
        <v>-0.57999999999999996</v>
      </c>
      <c r="Y18" s="259">
        <v>21.154</v>
      </c>
      <c r="Z18" s="259">
        <v>29.123999999999999</v>
      </c>
      <c r="AA18" s="259">
        <v>34.840000000000003</v>
      </c>
      <c r="AB18" s="259">
        <v>40.615000000000002</v>
      </c>
      <c r="AC18" s="259">
        <v>42.502000000000002</v>
      </c>
      <c r="AD18" s="259">
        <v>48.466000000000001</v>
      </c>
      <c r="AE18" s="259">
        <v>54.591999999999999</v>
      </c>
      <c r="AF18" s="259">
        <v>-0.69499999999999995</v>
      </c>
      <c r="AG18" s="259">
        <v>-0.72399999999999998</v>
      </c>
      <c r="AH18" s="259">
        <v>-0.74199999999999999</v>
      </c>
      <c r="AI18" s="259">
        <v>-0.75700000000000001</v>
      </c>
      <c r="AJ18" s="259">
        <v>-0.76200000000000001</v>
      </c>
      <c r="AK18" s="259">
        <v>-0.77500000000000002</v>
      </c>
      <c r="AL18" s="259">
        <v>-0.78800000000000003</v>
      </c>
      <c r="AM18" s="259">
        <v>0.112</v>
      </c>
      <c r="AN18" s="259">
        <v>0.18099999999999999</v>
      </c>
      <c r="AO18" s="259">
        <v>0.22600000000000001</v>
      </c>
      <c r="AP18" s="259">
        <v>0.26600000000000001</v>
      </c>
      <c r="AQ18" s="259">
        <v>0.27900000000000003</v>
      </c>
      <c r="AR18" s="259">
        <v>0.316</v>
      </c>
      <c r="AS18" s="259">
        <v>0.35</v>
      </c>
    </row>
    <row r="19" spans="1:45" s="259" customFormat="1">
      <c r="A19" s="259" t="s">
        <v>352</v>
      </c>
      <c r="B19" s="259" t="s">
        <v>87</v>
      </c>
      <c r="C19" s="262">
        <v>46.766766666766678</v>
      </c>
      <c r="D19" s="262">
        <v>-71.316566666566658</v>
      </c>
      <c r="E19" s="263">
        <f>IF(OR(C19="",D19=""),"",ACOS((SIN(RADIANS(C19)) * SIN(RADIANS('Hydrologie-Méthode rationnelle'!$C$22))) + (COS(RADIANS(C19)) * COS(RADIANS('Hydrologie-Méthode rationnelle'!$C$22))) * (COS(RADIANS(D19) - RADIANS('Hydrologie-Méthode rationnelle'!$C$23)))) * 6371)</f>
        <v>8598.1340768387145</v>
      </c>
      <c r="F19" s="259">
        <v>79</v>
      </c>
      <c r="G19" s="259" t="s">
        <v>50</v>
      </c>
      <c r="H19" s="259" t="s">
        <v>88</v>
      </c>
      <c r="I19" s="259" t="s">
        <v>303</v>
      </c>
      <c r="J19" s="259">
        <v>38.880000000000003</v>
      </c>
      <c r="K19" s="259">
        <v>19.492000000000001</v>
      </c>
      <c r="L19" s="259">
        <v>25.405999999999999</v>
      </c>
      <c r="M19" s="259">
        <v>29.303999999999998</v>
      </c>
      <c r="N19" s="259">
        <v>33.033999999999999</v>
      </c>
      <c r="O19" s="259">
        <v>34.216999999999999</v>
      </c>
      <c r="P19" s="259">
        <v>37.856000000000002</v>
      </c>
      <c r="Q19" s="259">
        <v>41.465000000000003</v>
      </c>
      <c r="R19" s="259">
        <v>-0.63200000000000001</v>
      </c>
      <c r="S19" s="259">
        <v>-0.64200000000000002</v>
      </c>
      <c r="T19" s="259">
        <v>-0.64700000000000002</v>
      </c>
      <c r="U19" s="259">
        <v>-0.65100000000000002</v>
      </c>
      <c r="V19" s="259">
        <v>-0.65200000000000002</v>
      </c>
      <c r="W19" s="259">
        <v>-0.65500000000000003</v>
      </c>
      <c r="X19" s="259">
        <v>-0.65700000000000003</v>
      </c>
      <c r="Y19" s="259">
        <v>22.138000000000002</v>
      </c>
      <c r="Z19" s="259">
        <v>31.42</v>
      </c>
      <c r="AA19" s="259">
        <v>37.863999999999997</v>
      </c>
      <c r="AB19" s="259">
        <v>44.201999999999998</v>
      </c>
      <c r="AC19" s="259">
        <v>46.238</v>
      </c>
      <c r="AD19" s="259">
        <v>52.573999999999998</v>
      </c>
      <c r="AE19" s="259">
        <v>58.942999999999998</v>
      </c>
      <c r="AF19" s="259">
        <v>-0.69399999999999995</v>
      </c>
      <c r="AG19" s="259">
        <v>-0.745</v>
      </c>
      <c r="AH19" s="259">
        <v>-0.77</v>
      </c>
      <c r="AI19" s="259">
        <v>-0.78900000000000003</v>
      </c>
      <c r="AJ19" s="259">
        <v>-0.79500000000000004</v>
      </c>
      <c r="AK19" s="259">
        <v>-0.80900000000000005</v>
      </c>
      <c r="AL19" s="259">
        <v>-0.82199999999999995</v>
      </c>
      <c r="AM19" s="259">
        <v>7.1999999999999995E-2</v>
      </c>
      <c r="AN19" s="259">
        <v>0.125</v>
      </c>
      <c r="AO19" s="259">
        <v>0.154</v>
      </c>
      <c r="AP19" s="259">
        <v>0.17799999999999999</v>
      </c>
      <c r="AQ19" s="259">
        <v>0.184</v>
      </c>
      <c r="AR19" s="259">
        <v>0.20300000000000001</v>
      </c>
      <c r="AS19" s="259">
        <v>0.22</v>
      </c>
    </row>
    <row r="20" spans="1:45" s="259" customFormat="1">
      <c r="A20" s="259" t="s">
        <v>89</v>
      </c>
      <c r="B20" s="259" t="s">
        <v>90</v>
      </c>
      <c r="C20" s="262">
        <v>46.550100000100002</v>
      </c>
      <c r="D20" s="262">
        <v>-72.716566666566663</v>
      </c>
      <c r="E20" s="263">
        <f>IF(OR(C20="",D20=""),"",ACOS((SIN(RADIANS(C20)) * SIN(RADIANS('Hydrologie-Méthode rationnelle'!$C$22))) + (COS(RADIANS(C20)) * COS(RADIANS('Hydrologie-Méthode rationnelle'!$C$22))) * (COS(RADIANS(D20) - RADIANS('Hydrologie-Méthode rationnelle'!$C$23)))) * 6371)</f>
        <v>8696.5838919380076</v>
      </c>
      <c r="F20" s="259">
        <v>110</v>
      </c>
      <c r="G20" s="259" t="s">
        <v>82</v>
      </c>
      <c r="H20" s="259" t="s">
        <v>292</v>
      </c>
      <c r="I20" s="259" t="s">
        <v>304</v>
      </c>
      <c r="J20" s="259">
        <v>41.631999999999998</v>
      </c>
      <c r="K20" s="259">
        <v>20.556999999999999</v>
      </c>
      <c r="L20" s="259">
        <v>27.687999999999999</v>
      </c>
      <c r="M20" s="259">
        <v>32.406999999999996</v>
      </c>
      <c r="N20" s="259">
        <v>36.930999999999997</v>
      </c>
      <c r="O20" s="259">
        <v>38.366999999999997</v>
      </c>
      <c r="P20" s="259">
        <v>42.786999999999999</v>
      </c>
      <c r="Q20" s="259">
        <v>47.174999999999997</v>
      </c>
      <c r="R20" s="259">
        <v>-0.69</v>
      </c>
      <c r="S20" s="259">
        <v>-0.68899999999999995</v>
      </c>
      <c r="T20" s="259">
        <v>-0.68899999999999995</v>
      </c>
      <c r="U20" s="259">
        <v>-0.68899999999999995</v>
      </c>
      <c r="V20" s="259">
        <v>-0.68899999999999995</v>
      </c>
      <c r="W20" s="259">
        <v>-0.68899999999999995</v>
      </c>
      <c r="X20" s="259">
        <v>-0.68899999999999995</v>
      </c>
      <c r="Y20" s="259">
        <v>24.122</v>
      </c>
      <c r="Z20" s="259">
        <v>33.521000000000001</v>
      </c>
      <c r="AA20" s="259">
        <v>39.792000000000002</v>
      </c>
      <c r="AB20" s="259">
        <v>45.83</v>
      </c>
      <c r="AC20" s="259">
        <v>47.749000000000002</v>
      </c>
      <c r="AD20" s="259">
        <v>53.667999999999999</v>
      </c>
      <c r="AE20" s="259">
        <v>59.552999999999997</v>
      </c>
      <c r="AF20" s="259">
        <v>-0.76900000000000002</v>
      </c>
      <c r="AG20" s="259">
        <v>-0.78300000000000003</v>
      </c>
      <c r="AH20" s="259">
        <v>-0.78900000000000003</v>
      </c>
      <c r="AI20" s="259">
        <v>-0.79400000000000004</v>
      </c>
      <c r="AJ20" s="259">
        <v>-0.79500000000000004</v>
      </c>
      <c r="AK20" s="259">
        <v>-0.79900000000000004</v>
      </c>
      <c r="AL20" s="259">
        <v>-0.80200000000000005</v>
      </c>
      <c r="AM20" s="259">
        <v>8.4000000000000005E-2</v>
      </c>
      <c r="AN20" s="259">
        <v>0.10199999999999999</v>
      </c>
      <c r="AO20" s="259">
        <v>0.111</v>
      </c>
      <c r="AP20" s="259">
        <v>0.11700000000000001</v>
      </c>
      <c r="AQ20" s="259">
        <v>0.11899999999999999</v>
      </c>
      <c r="AR20" s="259">
        <v>0.124</v>
      </c>
      <c r="AS20" s="259">
        <v>0.128</v>
      </c>
    </row>
    <row r="21" spans="1:45" s="259" customFormat="1">
      <c r="A21" s="259" t="s">
        <v>353</v>
      </c>
      <c r="B21" s="259" t="s">
        <v>91</v>
      </c>
      <c r="C21" s="262">
        <v>46.866766666766672</v>
      </c>
      <c r="D21" s="262">
        <v>-71.166566666566666</v>
      </c>
      <c r="E21" s="263">
        <f>IF(OR(C21="",D21=""),"",ACOS((SIN(RADIANS(C21)) * SIN(RADIANS('Hydrologie-Méthode rationnelle'!$C$22))) + (COS(RADIANS(C21)) * COS(RADIANS('Hydrologie-Méthode rationnelle'!$C$22))) * (COS(RADIANS(D21) - RADIANS('Hydrologie-Méthode rationnelle'!$C$23)))) * 6371)</f>
        <v>8589.7274720991918</v>
      </c>
      <c r="F21" s="259">
        <v>114</v>
      </c>
      <c r="G21" s="259" t="s">
        <v>61</v>
      </c>
      <c r="H21" s="259" t="s">
        <v>92</v>
      </c>
      <c r="I21" s="259" t="s">
        <v>305</v>
      </c>
      <c r="J21" s="259">
        <v>33.451999999999998</v>
      </c>
      <c r="K21" s="259">
        <v>22.765999999999998</v>
      </c>
      <c r="L21" s="259">
        <v>28.488</v>
      </c>
      <c r="M21" s="259">
        <v>32.256999999999998</v>
      </c>
      <c r="N21" s="259">
        <v>35.863</v>
      </c>
      <c r="O21" s="259">
        <v>37.005000000000003</v>
      </c>
      <c r="P21" s="259">
        <v>40.521000000000001</v>
      </c>
      <c r="Q21" s="259">
        <v>44.006</v>
      </c>
      <c r="R21" s="259">
        <v>-0.68600000000000005</v>
      </c>
      <c r="S21" s="259">
        <v>-0.69799999999999995</v>
      </c>
      <c r="T21" s="259">
        <v>-0.70399999999999996</v>
      </c>
      <c r="U21" s="259">
        <v>-0.70799999999999996</v>
      </c>
      <c r="V21" s="259">
        <v>-0.71</v>
      </c>
      <c r="W21" s="259">
        <v>-0.71299999999999997</v>
      </c>
      <c r="X21" s="259">
        <v>-0.71599999999999997</v>
      </c>
      <c r="Y21" s="259">
        <v>24.684000000000001</v>
      </c>
      <c r="Z21" s="259">
        <v>30.582000000000001</v>
      </c>
      <c r="AA21" s="259">
        <v>34.472999999999999</v>
      </c>
      <c r="AB21" s="259">
        <v>38.198</v>
      </c>
      <c r="AC21" s="259">
        <v>39.378</v>
      </c>
      <c r="AD21" s="259">
        <v>43.012</v>
      </c>
      <c r="AE21" s="259">
        <v>46.615000000000002</v>
      </c>
      <c r="AF21" s="259">
        <v>-0.72599999999999998</v>
      </c>
      <c r="AG21" s="259">
        <v>-0.73399999999999999</v>
      </c>
      <c r="AH21" s="259">
        <v>-0.73799999999999999</v>
      </c>
      <c r="AI21" s="259">
        <v>-0.74</v>
      </c>
      <c r="AJ21" s="259">
        <v>-0.74099999999999999</v>
      </c>
      <c r="AK21" s="259">
        <v>-0.74299999999999999</v>
      </c>
      <c r="AL21" s="259">
        <v>-0.745</v>
      </c>
      <c r="AM21" s="259">
        <v>0.04</v>
      </c>
      <c r="AN21" s="259">
        <v>3.4000000000000002E-2</v>
      </c>
      <c r="AO21" s="259">
        <v>3.1E-2</v>
      </c>
      <c r="AP21" s="259">
        <v>0.03</v>
      </c>
      <c r="AQ21" s="259">
        <v>2.9000000000000001E-2</v>
      </c>
      <c r="AR21" s="259">
        <v>2.8000000000000001E-2</v>
      </c>
      <c r="AS21" s="259">
        <v>2.7E-2</v>
      </c>
    </row>
    <row r="22" spans="1:45" s="259" customFormat="1">
      <c r="A22" s="259" t="s">
        <v>354</v>
      </c>
      <c r="B22" s="259" t="s">
        <v>93</v>
      </c>
      <c r="C22" s="262">
        <v>46.366766666766672</v>
      </c>
      <c r="D22" s="262">
        <v>-72.616566666566655</v>
      </c>
      <c r="E22" s="263">
        <f>IF(OR(C22="",D22=""),"",ACOS((SIN(RADIANS(C22)) * SIN(RADIANS('Hydrologie-Méthode rationnelle'!$C$22))) + (COS(RADIANS(C22)) * COS(RADIANS('Hydrologie-Méthode rationnelle'!$C$22))) * (COS(RADIANS(D22) - RADIANS('Hydrologie-Méthode rationnelle'!$C$23)))) * 6371)</f>
        <v>8684.6143800706341</v>
      </c>
      <c r="F22" s="259">
        <v>54</v>
      </c>
      <c r="G22" s="259" t="s">
        <v>94</v>
      </c>
      <c r="H22" s="259" t="s">
        <v>95</v>
      </c>
      <c r="I22" s="259" t="s">
        <v>306</v>
      </c>
      <c r="J22" s="259">
        <v>32.317999999999998</v>
      </c>
      <c r="K22" s="259">
        <v>19.927</v>
      </c>
      <c r="L22" s="259">
        <v>25.065999999999999</v>
      </c>
      <c r="M22" s="259">
        <v>28.46</v>
      </c>
      <c r="N22" s="259">
        <v>31.712</v>
      </c>
      <c r="O22" s="259">
        <v>32.743000000000002</v>
      </c>
      <c r="P22" s="259">
        <v>35.917000000000002</v>
      </c>
      <c r="Q22" s="259">
        <v>39.066000000000003</v>
      </c>
      <c r="R22" s="259">
        <v>-0.68200000000000005</v>
      </c>
      <c r="S22" s="259">
        <v>-0.68400000000000005</v>
      </c>
      <c r="T22" s="259">
        <v>-0.68500000000000005</v>
      </c>
      <c r="U22" s="259">
        <v>-0.68500000000000005</v>
      </c>
      <c r="V22" s="259">
        <v>-0.68500000000000005</v>
      </c>
      <c r="W22" s="259">
        <v>-0.68500000000000005</v>
      </c>
      <c r="X22" s="259">
        <v>-0.68600000000000005</v>
      </c>
      <c r="Y22" s="259">
        <v>23.12</v>
      </c>
      <c r="Z22" s="259">
        <v>28.024000000000001</v>
      </c>
      <c r="AA22" s="259">
        <v>31.324999999999999</v>
      </c>
      <c r="AB22" s="259">
        <v>34.512999999999998</v>
      </c>
      <c r="AC22" s="259">
        <v>35.527000000000001</v>
      </c>
      <c r="AD22" s="259">
        <v>38.659999999999997</v>
      </c>
      <c r="AE22" s="259">
        <v>41.777999999999999</v>
      </c>
      <c r="AF22" s="259">
        <v>-0.75600000000000001</v>
      </c>
      <c r="AG22" s="259">
        <v>-0.74</v>
      </c>
      <c r="AH22" s="259">
        <v>-0.73299999999999998</v>
      </c>
      <c r="AI22" s="259">
        <v>-0.72699999999999998</v>
      </c>
      <c r="AJ22" s="259">
        <v>-0.72599999999999998</v>
      </c>
      <c r="AK22" s="259">
        <v>-0.72299999999999998</v>
      </c>
      <c r="AL22" s="259">
        <v>-0.72</v>
      </c>
      <c r="AM22" s="259">
        <v>7.8E-2</v>
      </c>
      <c r="AN22" s="259">
        <v>5.7000000000000002E-2</v>
      </c>
      <c r="AO22" s="259">
        <v>4.8000000000000001E-2</v>
      </c>
      <c r="AP22" s="259">
        <v>4.2000000000000003E-2</v>
      </c>
      <c r="AQ22" s="259">
        <v>0.04</v>
      </c>
      <c r="AR22" s="259">
        <v>3.5999999999999997E-2</v>
      </c>
      <c r="AS22" s="259">
        <v>3.3000000000000002E-2</v>
      </c>
    </row>
    <row r="23" spans="1:45" s="259" customFormat="1">
      <c r="A23" s="259" t="s">
        <v>355</v>
      </c>
      <c r="B23" s="259" t="s">
        <v>96</v>
      </c>
      <c r="C23" s="262">
        <v>46.800100000100002</v>
      </c>
      <c r="D23" s="262">
        <v>-71.366566666566655</v>
      </c>
      <c r="E23" s="263">
        <f>IF(OR(C23="",D23=""),"",ACOS((SIN(RADIANS(C23)) * SIN(RADIANS('Hydrologie-Méthode rationnelle'!$C$22))) + (COS(RADIANS(C23)) * COS(RADIANS('Hydrologie-Méthode rationnelle'!$C$22))) * (COS(RADIANS(D23) - RADIANS('Hydrologie-Méthode rationnelle'!$C$23)))) * 6371)</f>
        <v>8602.7165597342027</v>
      </c>
      <c r="F23" s="259">
        <v>60</v>
      </c>
      <c r="G23" s="259" t="s">
        <v>97</v>
      </c>
      <c r="H23" s="259" t="s">
        <v>292</v>
      </c>
      <c r="I23" s="259" t="s">
        <v>307</v>
      </c>
      <c r="J23" s="259">
        <v>40.201999999999998</v>
      </c>
      <c r="K23" s="259">
        <v>20.385000000000002</v>
      </c>
      <c r="L23" s="259">
        <v>26.420999999999999</v>
      </c>
      <c r="M23" s="259">
        <v>30.408000000000001</v>
      </c>
      <c r="N23" s="259">
        <v>34.228000000000002</v>
      </c>
      <c r="O23" s="259">
        <v>35.44</v>
      </c>
      <c r="P23" s="259">
        <v>39.17</v>
      </c>
      <c r="Q23" s="259">
        <v>42.871000000000002</v>
      </c>
      <c r="R23" s="259">
        <v>-0.67200000000000004</v>
      </c>
      <c r="S23" s="259">
        <v>-0.67900000000000005</v>
      </c>
      <c r="T23" s="259">
        <v>-0.68200000000000005</v>
      </c>
      <c r="U23" s="259">
        <v>-0.68400000000000005</v>
      </c>
      <c r="V23" s="259">
        <v>-0.68400000000000005</v>
      </c>
      <c r="W23" s="259">
        <v>-0.68600000000000005</v>
      </c>
      <c r="X23" s="259">
        <v>-0.68700000000000006</v>
      </c>
      <c r="Y23" s="259">
        <v>21.901</v>
      </c>
      <c r="Z23" s="259">
        <v>29.416</v>
      </c>
      <c r="AA23" s="259">
        <v>34.472000000000001</v>
      </c>
      <c r="AB23" s="259">
        <v>39.366</v>
      </c>
      <c r="AC23" s="259">
        <v>40.924999999999997</v>
      </c>
      <c r="AD23" s="259">
        <v>45.747</v>
      </c>
      <c r="AE23" s="259">
        <v>50.555999999999997</v>
      </c>
      <c r="AF23" s="259">
        <v>-0.70899999999999996</v>
      </c>
      <c r="AG23" s="259">
        <v>-0.73199999999999998</v>
      </c>
      <c r="AH23" s="259">
        <v>-0.74399999999999999</v>
      </c>
      <c r="AI23" s="259">
        <v>-0.753</v>
      </c>
      <c r="AJ23" s="259">
        <v>-0.755</v>
      </c>
      <c r="AK23" s="259">
        <v>-0.76200000000000001</v>
      </c>
      <c r="AL23" s="259">
        <v>-0.76800000000000002</v>
      </c>
      <c r="AM23" s="259">
        <v>3.5999999999999997E-2</v>
      </c>
      <c r="AN23" s="259">
        <v>5.5E-2</v>
      </c>
      <c r="AO23" s="259">
        <v>6.5000000000000002E-2</v>
      </c>
      <c r="AP23" s="259">
        <v>7.2999999999999995E-2</v>
      </c>
      <c r="AQ23" s="259">
        <v>7.4999999999999997E-2</v>
      </c>
      <c r="AR23" s="259">
        <v>8.1000000000000003E-2</v>
      </c>
      <c r="AS23" s="259">
        <v>8.6999999999999994E-2</v>
      </c>
    </row>
    <row r="24" spans="1:45" s="259" customFormat="1">
      <c r="A24" s="259" t="s">
        <v>98</v>
      </c>
      <c r="B24" s="259" t="s">
        <v>99</v>
      </c>
      <c r="C24" s="262">
        <v>46.016766666766678</v>
      </c>
      <c r="D24" s="262">
        <v>-71.949899999899998</v>
      </c>
      <c r="E24" s="263">
        <f>IF(OR(C24="",D24=""),"",ACOS((SIN(RADIANS(C24)) * SIN(RADIANS('Hydrologie-Méthode rationnelle'!$C$22))) + (COS(RADIANS(C24)) * COS(RADIANS('Hydrologie-Méthode rationnelle'!$C$22))) * (COS(RADIANS(D24) - RADIANS('Hydrologie-Méthode rationnelle'!$C$23)))) * 6371)</f>
        <v>8625.8671498086787</v>
      </c>
      <c r="F24" s="259">
        <v>140</v>
      </c>
      <c r="G24" s="259" t="s">
        <v>66</v>
      </c>
      <c r="H24" s="259" t="s">
        <v>95</v>
      </c>
      <c r="I24" s="259" t="s">
        <v>299</v>
      </c>
      <c r="J24" s="259">
        <v>37.881999999999998</v>
      </c>
      <c r="K24" s="259">
        <v>19.327999999999999</v>
      </c>
      <c r="L24" s="259">
        <v>25.195</v>
      </c>
      <c r="M24" s="259">
        <v>29.071000000000002</v>
      </c>
      <c r="N24" s="259">
        <v>32.783999999999999</v>
      </c>
      <c r="O24" s="259">
        <v>33.960999999999999</v>
      </c>
      <c r="P24" s="259">
        <v>37.587000000000003</v>
      </c>
      <c r="Q24" s="259">
        <v>41.183</v>
      </c>
      <c r="R24" s="259">
        <v>-0.67900000000000005</v>
      </c>
      <c r="S24" s="259">
        <v>-0.69399999999999995</v>
      </c>
      <c r="T24" s="259">
        <v>-0.7</v>
      </c>
      <c r="U24" s="259">
        <v>-0.70499999999999996</v>
      </c>
      <c r="V24" s="259">
        <v>-0.70599999999999996</v>
      </c>
      <c r="W24" s="259">
        <v>-0.71</v>
      </c>
      <c r="X24" s="259">
        <v>-0.71199999999999997</v>
      </c>
      <c r="Y24" s="259">
        <v>22.664000000000001</v>
      </c>
      <c r="Z24" s="259">
        <v>30.393999999999998</v>
      </c>
      <c r="AA24" s="259">
        <v>35.524999999999999</v>
      </c>
      <c r="AB24" s="259">
        <v>40.454000000000001</v>
      </c>
      <c r="AC24" s="259">
        <v>42.018999999999998</v>
      </c>
      <c r="AD24" s="259">
        <v>46.843000000000004</v>
      </c>
      <c r="AE24" s="259">
        <v>51.636000000000003</v>
      </c>
      <c r="AF24" s="259">
        <v>-0.75800000000000001</v>
      </c>
      <c r="AG24" s="259">
        <v>-0.78500000000000003</v>
      </c>
      <c r="AH24" s="259">
        <v>-0.79800000000000004</v>
      </c>
      <c r="AI24" s="259">
        <v>-0.80700000000000005</v>
      </c>
      <c r="AJ24" s="259">
        <v>-0.81</v>
      </c>
      <c r="AK24" s="259">
        <v>-0.81699999999999995</v>
      </c>
      <c r="AL24" s="259">
        <v>-0.82199999999999995</v>
      </c>
      <c r="AM24" s="259">
        <v>8.5000000000000006E-2</v>
      </c>
      <c r="AN24" s="259">
        <v>9.9000000000000005E-2</v>
      </c>
      <c r="AO24" s="259">
        <v>0.106</v>
      </c>
      <c r="AP24" s="259">
        <v>0.111</v>
      </c>
      <c r="AQ24" s="259">
        <v>0.112</v>
      </c>
      <c r="AR24" s="259">
        <v>0.11600000000000001</v>
      </c>
      <c r="AS24" s="259">
        <v>0.11899999999999999</v>
      </c>
    </row>
    <row r="25" spans="1:45" s="259" customFormat="1">
      <c r="A25" s="259" t="s">
        <v>100</v>
      </c>
      <c r="B25" s="259" t="s">
        <v>101</v>
      </c>
      <c r="C25" s="262">
        <v>45.766766666766678</v>
      </c>
      <c r="D25" s="262">
        <v>-71.949899999899998</v>
      </c>
      <c r="E25" s="263">
        <f>IF(OR(C25="",D25=""),"",ACOS((SIN(RADIANS(C25)) * SIN(RADIANS('Hydrologie-Méthode rationnelle'!$C$22))) + (COS(RADIANS(C25)) * COS(RADIANS('Hydrologie-Méthode rationnelle'!$C$22))) * (COS(RADIANS(D25) - RADIANS('Hydrologie-Méthode rationnelle'!$C$23)))) * 6371)</f>
        <v>8619.5334709280269</v>
      </c>
      <c r="F25" s="259">
        <v>228</v>
      </c>
      <c r="G25" s="259" t="s">
        <v>54</v>
      </c>
      <c r="H25" s="259" t="s">
        <v>102</v>
      </c>
      <c r="I25" s="259" t="s">
        <v>305</v>
      </c>
      <c r="J25" s="259">
        <v>33.805999999999997</v>
      </c>
      <c r="K25" s="259">
        <v>20.54</v>
      </c>
      <c r="L25" s="259">
        <v>25.408000000000001</v>
      </c>
      <c r="M25" s="259">
        <v>28.576000000000001</v>
      </c>
      <c r="N25" s="259">
        <v>31.587</v>
      </c>
      <c r="O25" s="259">
        <v>32.537999999999997</v>
      </c>
      <c r="P25" s="259">
        <v>35.456000000000003</v>
      </c>
      <c r="Q25" s="259">
        <v>38.338999999999999</v>
      </c>
      <c r="R25" s="259">
        <v>-0.74299999999999999</v>
      </c>
      <c r="S25" s="259">
        <v>-0.71499999999999997</v>
      </c>
      <c r="T25" s="259">
        <v>-0.70099999999999996</v>
      </c>
      <c r="U25" s="259">
        <v>-0.69099999999999995</v>
      </c>
      <c r="V25" s="259">
        <v>-0.68799999999999994</v>
      </c>
      <c r="W25" s="259">
        <v>-0.68</v>
      </c>
      <c r="X25" s="259">
        <v>-0.67300000000000004</v>
      </c>
      <c r="Y25" s="259">
        <v>22.225000000000001</v>
      </c>
      <c r="Z25" s="259">
        <v>28.056999999999999</v>
      </c>
      <c r="AA25" s="259">
        <v>31.891999999999999</v>
      </c>
      <c r="AB25" s="259">
        <v>35.564</v>
      </c>
      <c r="AC25" s="259">
        <v>36.728000000000002</v>
      </c>
      <c r="AD25" s="259">
        <v>40.317</v>
      </c>
      <c r="AE25" s="259">
        <v>43.881999999999998</v>
      </c>
      <c r="AF25" s="259">
        <v>-0.78300000000000003</v>
      </c>
      <c r="AG25" s="259">
        <v>-0.76500000000000001</v>
      </c>
      <c r="AH25" s="259">
        <v>-0.75600000000000001</v>
      </c>
      <c r="AI25" s="259">
        <v>-0.75</v>
      </c>
      <c r="AJ25" s="259">
        <v>-0.748</v>
      </c>
      <c r="AK25" s="259">
        <v>-0.74299999999999999</v>
      </c>
      <c r="AL25" s="259">
        <v>-0.73899999999999999</v>
      </c>
      <c r="AM25" s="259">
        <v>3.5999999999999997E-2</v>
      </c>
      <c r="AN25" s="259">
        <v>4.8000000000000001E-2</v>
      </c>
      <c r="AO25" s="259">
        <v>5.3999999999999999E-2</v>
      </c>
      <c r="AP25" s="259">
        <v>0.06</v>
      </c>
      <c r="AQ25" s="259">
        <v>6.2E-2</v>
      </c>
      <c r="AR25" s="259">
        <v>6.7000000000000004E-2</v>
      </c>
      <c r="AS25" s="259">
        <v>7.0999999999999994E-2</v>
      </c>
    </row>
    <row r="26" spans="1:45" s="259" customFormat="1">
      <c r="A26" s="259" t="s">
        <v>103</v>
      </c>
      <c r="B26" s="259" t="s">
        <v>104</v>
      </c>
      <c r="C26" s="262">
        <v>45.166766666766662</v>
      </c>
      <c r="D26" s="262">
        <v>-72.566566666566658</v>
      </c>
      <c r="E26" s="263">
        <f>IF(OR(C26="",D26=""),"",ACOS((SIN(RADIANS(C26)) * SIN(RADIANS('Hydrologie-Méthode rationnelle'!$C$22))) + (COS(RADIANS(C26)) * COS(RADIANS('Hydrologie-Méthode rationnelle'!$C$22))) * (COS(RADIANS(D26) - RADIANS('Hydrologie-Méthode rationnelle'!$C$23)))) * 6371)</f>
        <v>8651.5834392069992</v>
      </c>
      <c r="F26" s="259">
        <v>205</v>
      </c>
      <c r="G26" s="259" t="s">
        <v>61</v>
      </c>
      <c r="H26" s="259" t="s">
        <v>95</v>
      </c>
      <c r="I26" s="259" t="s">
        <v>300</v>
      </c>
      <c r="J26" s="259">
        <v>41.305999999999997</v>
      </c>
      <c r="K26" s="259">
        <v>20.305</v>
      </c>
      <c r="L26" s="259">
        <v>27.457999999999998</v>
      </c>
      <c r="M26" s="259">
        <v>32.179000000000002</v>
      </c>
      <c r="N26" s="259">
        <v>36.701000000000001</v>
      </c>
      <c r="O26" s="259">
        <v>38.134</v>
      </c>
      <c r="P26" s="259">
        <v>42.546999999999997</v>
      </c>
      <c r="Q26" s="259">
        <v>46.926000000000002</v>
      </c>
      <c r="R26" s="259">
        <v>-0.65100000000000002</v>
      </c>
      <c r="S26" s="259">
        <v>-0.66400000000000003</v>
      </c>
      <c r="T26" s="259">
        <v>-0.66900000000000004</v>
      </c>
      <c r="U26" s="259">
        <v>-0.67200000000000004</v>
      </c>
      <c r="V26" s="259">
        <v>-0.67300000000000004</v>
      </c>
      <c r="W26" s="259">
        <v>-0.67600000000000005</v>
      </c>
      <c r="X26" s="259">
        <v>-0.67800000000000005</v>
      </c>
      <c r="Y26" s="259">
        <v>24.994</v>
      </c>
      <c r="Z26" s="259">
        <v>31.792999999999999</v>
      </c>
      <c r="AA26" s="259">
        <v>36.411999999999999</v>
      </c>
      <c r="AB26" s="259">
        <v>40.886000000000003</v>
      </c>
      <c r="AC26" s="259">
        <v>42.311</v>
      </c>
      <c r="AD26" s="259">
        <v>46.713999999999999</v>
      </c>
      <c r="AE26" s="259">
        <v>51.1</v>
      </c>
      <c r="AF26" s="259">
        <v>-0.752</v>
      </c>
      <c r="AG26" s="259">
        <v>-0.73599999999999999</v>
      </c>
      <c r="AH26" s="259">
        <v>-0.73</v>
      </c>
      <c r="AI26" s="259">
        <v>-0.72599999999999998</v>
      </c>
      <c r="AJ26" s="259">
        <v>-0.72499999999999998</v>
      </c>
      <c r="AK26" s="259">
        <v>-0.72299999999999998</v>
      </c>
      <c r="AL26" s="259">
        <v>-0.72099999999999997</v>
      </c>
      <c r="AM26" s="259">
        <v>0.12</v>
      </c>
      <c r="AN26" s="259">
        <v>7.9000000000000001E-2</v>
      </c>
      <c r="AO26" s="259">
        <v>6.5000000000000002E-2</v>
      </c>
      <c r="AP26" s="259">
        <v>5.6000000000000001E-2</v>
      </c>
      <c r="AQ26" s="259">
        <v>5.2999999999999999E-2</v>
      </c>
      <c r="AR26" s="259">
        <v>4.7E-2</v>
      </c>
      <c r="AS26" s="259">
        <v>4.2999999999999997E-2</v>
      </c>
    </row>
    <row r="27" spans="1:45" s="259" customFormat="1">
      <c r="A27" s="259" t="s">
        <v>105</v>
      </c>
      <c r="B27" s="259" t="s">
        <v>106</v>
      </c>
      <c r="C27" s="262">
        <v>45.266766666766678</v>
      </c>
      <c r="D27" s="262">
        <v>-71.199899999899998</v>
      </c>
      <c r="E27" s="263">
        <f>IF(OR(C27="",D27=""),"",ACOS((SIN(RADIANS(C27)) * SIN(RADIANS('Hydrologie-Méthode rationnelle'!$C$22))) + (COS(RADIANS(C27)) * COS(RADIANS('Hydrologie-Méthode rationnelle'!$C$22))) * (COS(RADIANS(D27) - RADIANS('Hydrologie-Méthode rationnelle'!$C$23)))) * 6371)</f>
        <v>8549.8258043062378</v>
      </c>
      <c r="F27" s="259">
        <v>518</v>
      </c>
      <c r="G27" s="259" t="s">
        <v>82</v>
      </c>
      <c r="H27" s="259" t="s">
        <v>77</v>
      </c>
      <c r="I27" s="259" t="s">
        <v>308</v>
      </c>
      <c r="J27" s="259">
        <v>37.332000000000001</v>
      </c>
      <c r="K27" s="259">
        <v>17.343</v>
      </c>
      <c r="L27" s="259">
        <v>22.370999999999999</v>
      </c>
      <c r="M27" s="259">
        <v>25.687999999999999</v>
      </c>
      <c r="N27" s="259">
        <v>28.866</v>
      </c>
      <c r="O27" s="259">
        <v>29.873000000000001</v>
      </c>
      <c r="P27" s="259">
        <v>32.973999999999997</v>
      </c>
      <c r="Q27" s="259">
        <v>36.049999999999997</v>
      </c>
      <c r="R27" s="259">
        <v>-0.64200000000000002</v>
      </c>
      <c r="S27" s="259">
        <v>-0.63900000000000001</v>
      </c>
      <c r="T27" s="259">
        <v>-0.63700000000000001</v>
      </c>
      <c r="U27" s="259">
        <v>-0.63600000000000001</v>
      </c>
      <c r="V27" s="259">
        <v>-0.63600000000000001</v>
      </c>
      <c r="W27" s="259">
        <v>-0.63500000000000001</v>
      </c>
      <c r="X27" s="259">
        <v>-0.63500000000000001</v>
      </c>
      <c r="Y27" s="259">
        <v>21.588000000000001</v>
      </c>
      <c r="Z27" s="259">
        <v>30.704000000000001</v>
      </c>
      <c r="AA27" s="259">
        <v>37.139000000000003</v>
      </c>
      <c r="AB27" s="259">
        <v>43.534999999999997</v>
      </c>
      <c r="AC27" s="259">
        <v>45.603000000000002</v>
      </c>
      <c r="AD27" s="259">
        <v>52.069000000000003</v>
      </c>
      <c r="AE27" s="259">
        <v>58.613</v>
      </c>
      <c r="AF27" s="259">
        <v>-0.748</v>
      </c>
      <c r="AG27" s="259">
        <v>-0.78800000000000003</v>
      </c>
      <c r="AH27" s="259">
        <v>-0.80900000000000005</v>
      </c>
      <c r="AI27" s="259">
        <v>-0.82599999999999996</v>
      </c>
      <c r="AJ27" s="259">
        <v>-0.83099999999999996</v>
      </c>
      <c r="AK27" s="259">
        <v>-0.84499999999999997</v>
      </c>
      <c r="AL27" s="259">
        <v>-0.85599999999999998</v>
      </c>
      <c r="AM27" s="259">
        <v>0.129</v>
      </c>
      <c r="AN27" s="259">
        <v>0.2</v>
      </c>
      <c r="AO27" s="259">
        <v>0.24099999999999999</v>
      </c>
      <c r="AP27" s="259">
        <v>0.27500000000000002</v>
      </c>
      <c r="AQ27" s="259">
        <v>0.28499999999999998</v>
      </c>
      <c r="AR27" s="259">
        <v>0.313</v>
      </c>
      <c r="AS27" s="259">
        <v>0.33800000000000002</v>
      </c>
    </row>
    <row r="28" spans="1:45" s="259" customFormat="1">
      <c r="A28" s="259" t="s">
        <v>107</v>
      </c>
      <c r="B28" s="259" t="s">
        <v>108</v>
      </c>
      <c r="C28" s="262">
        <v>45.816766666766675</v>
      </c>
      <c r="D28" s="262">
        <v>-71.966566666566663</v>
      </c>
      <c r="E28" s="263">
        <f>IF(OR(C28="",D28=""),"",ACOS((SIN(RADIANS(C28)) * SIN(RADIANS('Hydrologie-Méthode rationnelle'!$C$22))) + (COS(RADIANS(C28)) * COS(RADIANS('Hydrologie-Méthode rationnelle'!$C$22))) * (COS(RADIANS(D28) - RADIANS('Hydrologie-Méthode rationnelle'!$C$23)))) * 6371)</f>
        <v>8622.0559483584566</v>
      </c>
      <c r="F28" s="259">
        <v>190</v>
      </c>
      <c r="G28" s="259" t="s">
        <v>109</v>
      </c>
      <c r="H28" s="259" t="s">
        <v>95</v>
      </c>
      <c r="I28" s="259" t="s">
        <v>305</v>
      </c>
      <c r="J28" s="259">
        <v>51.064</v>
      </c>
      <c r="K28" s="259">
        <v>21.085000000000001</v>
      </c>
      <c r="L28" s="259">
        <v>28.152999999999999</v>
      </c>
      <c r="M28" s="259">
        <v>32.811999999999998</v>
      </c>
      <c r="N28" s="259">
        <v>37.270000000000003</v>
      </c>
      <c r="O28" s="259">
        <v>38.683</v>
      </c>
      <c r="P28" s="259">
        <v>43.033000000000001</v>
      </c>
      <c r="Q28" s="259">
        <v>47.345999999999997</v>
      </c>
      <c r="R28" s="259">
        <v>-0.67200000000000004</v>
      </c>
      <c r="S28" s="259">
        <v>-0.65500000000000003</v>
      </c>
      <c r="T28" s="259">
        <v>-0.64800000000000002</v>
      </c>
      <c r="U28" s="259">
        <v>-0.64200000000000002</v>
      </c>
      <c r="V28" s="259">
        <v>-0.64100000000000001</v>
      </c>
      <c r="W28" s="259">
        <v>-0.63700000000000001</v>
      </c>
      <c r="X28" s="259">
        <v>-0.63400000000000001</v>
      </c>
      <c r="Y28" s="259">
        <v>29.164999999999999</v>
      </c>
      <c r="Z28" s="259">
        <v>43.164999999999999</v>
      </c>
      <c r="AA28" s="259">
        <v>53</v>
      </c>
      <c r="AB28" s="259">
        <v>62.746000000000002</v>
      </c>
      <c r="AC28" s="259">
        <v>65.89</v>
      </c>
      <c r="AD28" s="259">
        <v>75.710999999999999</v>
      </c>
      <c r="AE28" s="259">
        <v>85.631</v>
      </c>
      <c r="AF28" s="259">
        <v>-0.82599999999999996</v>
      </c>
      <c r="AG28" s="259">
        <v>-0.85299999999999998</v>
      </c>
      <c r="AH28" s="259">
        <v>-0.86799999999999999</v>
      </c>
      <c r="AI28" s="259">
        <v>-0.879</v>
      </c>
      <c r="AJ28" s="259">
        <v>-0.88300000000000001</v>
      </c>
      <c r="AK28" s="259">
        <v>-0.89200000000000002</v>
      </c>
      <c r="AL28" s="259">
        <v>-0.9</v>
      </c>
      <c r="AM28" s="259">
        <v>0.19400000000000001</v>
      </c>
      <c r="AN28" s="259">
        <v>0.27800000000000002</v>
      </c>
      <c r="AO28" s="259">
        <v>0.32400000000000001</v>
      </c>
      <c r="AP28" s="259">
        <v>0.36199999999999999</v>
      </c>
      <c r="AQ28" s="259">
        <v>0.373</v>
      </c>
      <c r="AR28" s="259">
        <v>0.40400000000000003</v>
      </c>
      <c r="AS28" s="259">
        <v>0.43099999999999999</v>
      </c>
    </row>
    <row r="29" spans="1:45" s="259" customFormat="1">
      <c r="A29" s="259" t="s">
        <v>110</v>
      </c>
      <c r="B29" s="259" t="s">
        <v>111</v>
      </c>
      <c r="C29" s="262">
        <v>45.866766666766672</v>
      </c>
      <c r="D29" s="262">
        <v>-72.466566666566663</v>
      </c>
      <c r="E29" s="263">
        <f>IF(OR(C29="",D29=""),"",ACOS((SIN(RADIANS(C29)) * SIN(RADIANS('Hydrologie-Méthode rationnelle'!$C$22))) + (COS(RADIANS(C29)) * COS(RADIANS('Hydrologie-Méthode rationnelle'!$C$22))) * (COS(RADIANS(D29) - RADIANS('Hydrologie-Méthode rationnelle'!$C$23)))) * 6371)</f>
        <v>8661.047770596213</v>
      </c>
      <c r="F29" s="259">
        <v>82</v>
      </c>
      <c r="G29" s="259" t="s">
        <v>64</v>
      </c>
      <c r="H29" s="259" t="s">
        <v>95</v>
      </c>
      <c r="I29" s="259" t="s">
        <v>298</v>
      </c>
      <c r="J29" s="259">
        <v>36.21</v>
      </c>
      <c r="K29" s="259">
        <v>19.684999999999999</v>
      </c>
      <c r="L29" s="259">
        <v>25.388999999999999</v>
      </c>
      <c r="M29" s="259">
        <v>29.157</v>
      </c>
      <c r="N29" s="259">
        <v>32.767000000000003</v>
      </c>
      <c r="O29" s="259">
        <v>33.911999999999999</v>
      </c>
      <c r="P29" s="259">
        <v>37.436</v>
      </c>
      <c r="Q29" s="259">
        <v>40.932000000000002</v>
      </c>
      <c r="R29" s="259">
        <v>-0.70799999999999996</v>
      </c>
      <c r="S29" s="259">
        <v>-0.71499999999999997</v>
      </c>
      <c r="T29" s="259">
        <v>-0.71799999999999997</v>
      </c>
      <c r="U29" s="259">
        <v>-0.72</v>
      </c>
      <c r="V29" s="259">
        <v>-0.72099999999999997</v>
      </c>
      <c r="W29" s="259">
        <v>-0.72199999999999998</v>
      </c>
      <c r="X29" s="259">
        <v>-0.72399999999999998</v>
      </c>
      <c r="Y29" s="259">
        <v>23.84</v>
      </c>
      <c r="Z29" s="259">
        <v>29.696000000000002</v>
      </c>
      <c r="AA29" s="259">
        <v>33.621000000000002</v>
      </c>
      <c r="AB29" s="259">
        <v>37.402999999999999</v>
      </c>
      <c r="AC29" s="259">
        <v>38.606000000000002</v>
      </c>
      <c r="AD29" s="259">
        <v>42.314999999999998</v>
      </c>
      <c r="AE29" s="259">
        <v>46.003999999999998</v>
      </c>
      <c r="AF29" s="259">
        <v>-0.80200000000000005</v>
      </c>
      <c r="AG29" s="259">
        <v>-0.79300000000000004</v>
      </c>
      <c r="AH29" s="259">
        <v>-0.78900000000000003</v>
      </c>
      <c r="AI29" s="259">
        <v>-0.78600000000000003</v>
      </c>
      <c r="AJ29" s="259">
        <v>-0.78500000000000003</v>
      </c>
      <c r="AK29" s="259">
        <v>-0.78400000000000003</v>
      </c>
      <c r="AL29" s="259">
        <v>-0.78200000000000003</v>
      </c>
      <c r="AM29" s="259">
        <v>9.9000000000000005E-2</v>
      </c>
      <c r="AN29" s="259">
        <v>7.8E-2</v>
      </c>
      <c r="AO29" s="259">
        <v>7.0000000000000007E-2</v>
      </c>
      <c r="AP29" s="259">
        <v>6.5000000000000002E-2</v>
      </c>
      <c r="AQ29" s="259">
        <v>6.3E-2</v>
      </c>
      <c r="AR29" s="259">
        <v>5.8999999999999997E-2</v>
      </c>
      <c r="AS29" s="259">
        <v>5.6000000000000001E-2</v>
      </c>
    </row>
    <row r="30" spans="1:45" s="259" customFormat="1">
      <c r="A30" s="259" t="s">
        <v>112</v>
      </c>
      <c r="B30" s="259" t="s">
        <v>113</v>
      </c>
      <c r="C30" s="262">
        <v>46.466766666766674</v>
      </c>
      <c r="D30" s="262">
        <v>-72.049899999899992</v>
      </c>
      <c r="E30" s="263">
        <f>IF(OR(C30="",D30=""),"",ACOS((SIN(RADIANS(C30)) * SIN(RADIANS('Hydrologie-Méthode rationnelle'!$C$22))) + (COS(RADIANS(C30)) * COS(RADIANS('Hydrologie-Méthode rationnelle'!$C$22))) * (COS(RADIANS(D30) - RADIANS('Hydrologie-Méthode rationnelle'!$C$23)))) * 6371)</f>
        <v>8644.786316046604</v>
      </c>
      <c r="F30" s="259">
        <v>53</v>
      </c>
      <c r="G30" s="259" t="s">
        <v>114</v>
      </c>
      <c r="H30" s="259" t="s">
        <v>55</v>
      </c>
      <c r="I30" s="259" t="s">
        <v>309</v>
      </c>
      <c r="J30" s="259">
        <v>32.642000000000003</v>
      </c>
      <c r="K30" s="259">
        <v>18.704999999999998</v>
      </c>
      <c r="L30" s="259">
        <v>23.748000000000001</v>
      </c>
      <c r="M30" s="259">
        <v>27.082999999999998</v>
      </c>
      <c r="N30" s="259">
        <v>30.28</v>
      </c>
      <c r="O30" s="259">
        <v>31.294</v>
      </c>
      <c r="P30" s="259">
        <v>34.417000000000002</v>
      </c>
      <c r="Q30" s="259">
        <v>37.515999999999998</v>
      </c>
      <c r="R30" s="259">
        <v>-0.64400000000000002</v>
      </c>
      <c r="S30" s="259">
        <v>-0.63800000000000001</v>
      </c>
      <c r="T30" s="259">
        <v>-0.63500000000000001</v>
      </c>
      <c r="U30" s="259">
        <v>-0.63300000000000001</v>
      </c>
      <c r="V30" s="259">
        <v>-0.63200000000000001</v>
      </c>
      <c r="W30" s="259">
        <v>-0.63100000000000001</v>
      </c>
      <c r="X30" s="259">
        <v>-0.629</v>
      </c>
      <c r="Y30" s="259">
        <v>21.867999999999999</v>
      </c>
      <c r="Z30" s="259">
        <v>26.919</v>
      </c>
      <c r="AA30" s="259">
        <v>30.292000000000002</v>
      </c>
      <c r="AB30" s="259">
        <v>33.539000000000001</v>
      </c>
      <c r="AC30" s="259">
        <v>34.570999999999998</v>
      </c>
      <c r="AD30" s="259">
        <v>37.755000000000003</v>
      </c>
      <c r="AE30" s="259">
        <v>40.92</v>
      </c>
      <c r="AF30" s="259">
        <v>-0.72099999999999997</v>
      </c>
      <c r="AG30" s="259">
        <v>-0.7</v>
      </c>
      <c r="AH30" s="259">
        <v>-0.69099999999999995</v>
      </c>
      <c r="AI30" s="259">
        <v>-0.68400000000000005</v>
      </c>
      <c r="AJ30" s="259">
        <v>-0.68200000000000005</v>
      </c>
      <c r="AK30" s="259">
        <v>-0.67700000000000005</v>
      </c>
      <c r="AL30" s="259">
        <v>-0.67300000000000004</v>
      </c>
      <c r="AM30" s="259">
        <v>8.7999999999999995E-2</v>
      </c>
      <c r="AN30" s="259">
        <v>7.0000000000000007E-2</v>
      </c>
      <c r="AO30" s="259">
        <v>6.2E-2</v>
      </c>
      <c r="AP30" s="259">
        <v>5.6000000000000001E-2</v>
      </c>
      <c r="AQ30" s="259">
        <v>5.5E-2</v>
      </c>
      <c r="AR30" s="259">
        <v>5.0999999999999997E-2</v>
      </c>
      <c r="AS30" s="259">
        <v>4.7E-2</v>
      </c>
    </row>
    <row r="31" spans="1:45" s="259" customFormat="1">
      <c r="A31" s="259" t="s">
        <v>115</v>
      </c>
      <c r="B31" s="259" t="s">
        <v>116</v>
      </c>
      <c r="C31" s="262">
        <v>45.050100000100002</v>
      </c>
      <c r="D31" s="262">
        <v>-72.849899999899989</v>
      </c>
      <c r="E31" s="263">
        <f>IF(OR(C31="",D31=""),"",ACOS((SIN(RADIANS(C31)) * SIN(RADIANS('Hydrologie-Méthode rationnelle'!$C$22))) + (COS(RADIANS(C31)) * COS(RADIANS('Hydrologie-Méthode rationnelle'!$C$22))) * (COS(RADIANS(D31) - RADIANS('Hydrologie-Méthode rationnelle'!$C$23)))) * 6371)</f>
        <v>8670.5030539125291</v>
      </c>
      <c r="F31" s="259">
        <v>152</v>
      </c>
      <c r="G31" s="259" t="s">
        <v>117</v>
      </c>
      <c r="H31" s="259" t="s">
        <v>292</v>
      </c>
      <c r="I31" s="259" t="s">
        <v>306</v>
      </c>
      <c r="J31" s="259">
        <v>38.771999999999998</v>
      </c>
      <c r="K31" s="259">
        <v>22.462</v>
      </c>
      <c r="L31" s="259">
        <v>28.036999999999999</v>
      </c>
      <c r="M31" s="259">
        <v>31.724</v>
      </c>
      <c r="N31" s="259">
        <v>35.259</v>
      </c>
      <c r="O31" s="259">
        <v>36.380000000000003</v>
      </c>
      <c r="P31" s="259">
        <v>39.832999999999998</v>
      </c>
      <c r="Q31" s="259">
        <v>43.26</v>
      </c>
      <c r="R31" s="259">
        <v>-0.68899999999999995</v>
      </c>
      <c r="S31" s="259">
        <v>-0.68100000000000005</v>
      </c>
      <c r="T31" s="259">
        <v>-0.67700000000000005</v>
      </c>
      <c r="U31" s="259">
        <v>-0.67500000000000004</v>
      </c>
      <c r="V31" s="259">
        <v>-0.67400000000000004</v>
      </c>
      <c r="W31" s="259">
        <v>-0.67200000000000004</v>
      </c>
      <c r="X31" s="259">
        <v>-0.67</v>
      </c>
      <c r="Y31" s="259">
        <v>26.146000000000001</v>
      </c>
      <c r="Z31" s="259">
        <v>32.594999999999999</v>
      </c>
      <c r="AA31" s="259">
        <v>36.868000000000002</v>
      </c>
      <c r="AB31" s="259">
        <v>40.968000000000004</v>
      </c>
      <c r="AC31" s="259">
        <v>42.268000000000001</v>
      </c>
      <c r="AD31" s="259">
        <v>46.276000000000003</v>
      </c>
      <c r="AE31" s="259">
        <v>50.255000000000003</v>
      </c>
      <c r="AF31" s="259">
        <v>-0.76400000000000001</v>
      </c>
      <c r="AG31" s="259">
        <v>-0.755</v>
      </c>
      <c r="AH31" s="259">
        <v>-0.752</v>
      </c>
      <c r="AI31" s="259">
        <v>-0.749</v>
      </c>
      <c r="AJ31" s="259">
        <v>-0.748</v>
      </c>
      <c r="AK31" s="259">
        <v>-0.746</v>
      </c>
      <c r="AL31" s="259">
        <v>-0.74399999999999999</v>
      </c>
      <c r="AM31" s="259">
        <v>7.9000000000000001E-2</v>
      </c>
      <c r="AN31" s="259">
        <v>7.9000000000000001E-2</v>
      </c>
      <c r="AO31" s="259">
        <v>0.08</v>
      </c>
      <c r="AP31" s="259">
        <v>0.08</v>
      </c>
      <c r="AQ31" s="259">
        <v>0.08</v>
      </c>
      <c r="AR31" s="259">
        <v>0.08</v>
      </c>
      <c r="AS31" s="259">
        <v>0.08</v>
      </c>
    </row>
    <row r="32" spans="1:45" s="259" customFormat="1">
      <c r="A32" s="259" t="s">
        <v>118</v>
      </c>
      <c r="B32" s="259" t="s">
        <v>119</v>
      </c>
      <c r="C32" s="262">
        <v>45.116766666766672</v>
      </c>
      <c r="D32" s="262">
        <v>-72.216566666566663</v>
      </c>
      <c r="E32" s="263">
        <f>IF(OR(C32="",D32=""),"",ACOS((SIN(RADIANS(C32)) * SIN(RADIANS('Hydrologie-Méthode rationnelle'!$C$22))) + (COS(RADIANS(C32)) * COS(RADIANS('Hydrologie-Méthode rationnelle'!$C$22))) * (COS(RADIANS(D32) - RADIANS('Hydrologie-Méthode rationnelle'!$C$23)))) * 6371)</f>
        <v>8623.5813940103235</v>
      </c>
      <c r="F32" s="259">
        <v>266</v>
      </c>
      <c r="G32" s="259" t="s">
        <v>82</v>
      </c>
      <c r="H32" s="259" t="s">
        <v>95</v>
      </c>
      <c r="I32" s="259" t="s">
        <v>299</v>
      </c>
      <c r="J32" s="259">
        <v>50.021999999999998</v>
      </c>
      <c r="K32" s="259">
        <v>20.274000000000001</v>
      </c>
      <c r="L32" s="259">
        <v>27.437999999999999</v>
      </c>
      <c r="M32" s="259">
        <v>32.164999999999999</v>
      </c>
      <c r="N32" s="259">
        <v>36.692999999999998</v>
      </c>
      <c r="O32" s="259">
        <v>38.128</v>
      </c>
      <c r="P32" s="259">
        <v>42.548000000000002</v>
      </c>
      <c r="Q32" s="259">
        <v>46.933</v>
      </c>
      <c r="R32" s="259">
        <v>-0.66300000000000003</v>
      </c>
      <c r="S32" s="259">
        <v>-0.65700000000000003</v>
      </c>
      <c r="T32" s="259">
        <v>-0.65400000000000003</v>
      </c>
      <c r="U32" s="259">
        <v>-0.65200000000000002</v>
      </c>
      <c r="V32" s="259">
        <v>-0.65100000000000002</v>
      </c>
      <c r="W32" s="259">
        <v>-0.64900000000000002</v>
      </c>
      <c r="X32" s="259">
        <v>-0.64800000000000002</v>
      </c>
      <c r="Y32" s="259">
        <v>24.626999999999999</v>
      </c>
      <c r="Z32" s="259">
        <v>36.380000000000003</v>
      </c>
      <c r="AA32" s="259">
        <v>44.515999999999998</v>
      </c>
      <c r="AB32" s="259">
        <v>52.497999999999998</v>
      </c>
      <c r="AC32" s="259">
        <v>55.058</v>
      </c>
      <c r="AD32" s="259">
        <v>63.015999999999998</v>
      </c>
      <c r="AE32" s="259">
        <v>71</v>
      </c>
      <c r="AF32" s="259">
        <v>-0.75800000000000001</v>
      </c>
      <c r="AG32" s="259">
        <v>-0.79100000000000004</v>
      </c>
      <c r="AH32" s="259">
        <v>-0.80700000000000005</v>
      </c>
      <c r="AI32" s="259">
        <v>-0.81899999999999995</v>
      </c>
      <c r="AJ32" s="259">
        <v>-0.82299999999999995</v>
      </c>
      <c r="AK32" s="259">
        <v>-0.83199999999999996</v>
      </c>
      <c r="AL32" s="259">
        <v>-0.84</v>
      </c>
      <c r="AM32" s="259">
        <v>0.109</v>
      </c>
      <c r="AN32" s="259">
        <v>0.16900000000000001</v>
      </c>
      <c r="AO32" s="259">
        <v>0.20100000000000001</v>
      </c>
      <c r="AP32" s="259">
        <v>0.22700000000000001</v>
      </c>
      <c r="AQ32" s="259">
        <v>0.23400000000000001</v>
      </c>
      <c r="AR32" s="259">
        <v>0.254</v>
      </c>
      <c r="AS32" s="259">
        <v>0.27100000000000002</v>
      </c>
    </row>
    <row r="33" spans="1:45" s="259" customFormat="1">
      <c r="A33" s="259" t="s">
        <v>120</v>
      </c>
      <c r="B33" s="259" t="s">
        <v>121</v>
      </c>
      <c r="C33" s="262">
        <v>45.366766666766672</v>
      </c>
      <c r="D33" s="262">
        <v>-72.766566666566661</v>
      </c>
      <c r="E33" s="263">
        <f>IF(OR(C33="",D33=""),"",ACOS((SIN(RADIANS(C33)) * SIN(RADIANS('Hydrologie-Méthode rationnelle'!$C$22))) + (COS(RADIANS(C33)) * COS(RADIANS('Hydrologie-Méthode rationnelle'!$C$22))) * (COS(RADIANS(D33) - RADIANS('Hydrologie-Méthode rationnelle'!$C$23)))) * 6371)</f>
        <v>8671.6781403042041</v>
      </c>
      <c r="F33" s="259">
        <v>86</v>
      </c>
      <c r="G33" s="259" t="s">
        <v>84</v>
      </c>
      <c r="H33" s="259" t="s">
        <v>292</v>
      </c>
      <c r="I33" s="259" t="s">
        <v>310</v>
      </c>
      <c r="J33" s="259">
        <v>42.585000000000001</v>
      </c>
      <c r="K33" s="259">
        <v>21.734000000000002</v>
      </c>
      <c r="L33" s="259">
        <v>27.683</v>
      </c>
      <c r="M33" s="259">
        <v>31.614000000000001</v>
      </c>
      <c r="N33" s="259">
        <v>35.380000000000003</v>
      </c>
      <c r="O33" s="259">
        <v>36.575000000000003</v>
      </c>
      <c r="P33" s="259">
        <v>40.252000000000002</v>
      </c>
      <c r="Q33" s="259">
        <v>43.901000000000003</v>
      </c>
      <c r="R33" s="259">
        <v>-0.68100000000000005</v>
      </c>
      <c r="S33" s="259">
        <v>-0.67700000000000005</v>
      </c>
      <c r="T33" s="259">
        <v>-0.67500000000000004</v>
      </c>
      <c r="U33" s="259">
        <v>-0.67400000000000004</v>
      </c>
      <c r="V33" s="259">
        <v>-0.67400000000000004</v>
      </c>
      <c r="W33" s="259">
        <v>-0.67300000000000004</v>
      </c>
      <c r="X33" s="259">
        <v>-0.67200000000000004</v>
      </c>
      <c r="Y33" s="259">
        <v>25.202000000000002</v>
      </c>
      <c r="Z33" s="259">
        <v>33.488</v>
      </c>
      <c r="AA33" s="259">
        <v>39.036999999999999</v>
      </c>
      <c r="AB33" s="259">
        <v>44.389000000000003</v>
      </c>
      <c r="AC33" s="259">
        <v>46.091000000000001</v>
      </c>
      <c r="AD33" s="259">
        <v>51.347000000000001</v>
      </c>
      <c r="AE33" s="259">
        <v>56.576999999999998</v>
      </c>
      <c r="AF33" s="259">
        <v>-0.754</v>
      </c>
      <c r="AG33" s="259">
        <v>-0.77</v>
      </c>
      <c r="AH33" s="259">
        <v>-0.77800000000000002</v>
      </c>
      <c r="AI33" s="259">
        <v>-0.78400000000000003</v>
      </c>
      <c r="AJ33" s="259">
        <v>-0.78600000000000003</v>
      </c>
      <c r="AK33" s="259">
        <v>-0.79</v>
      </c>
      <c r="AL33" s="259">
        <v>-0.79400000000000004</v>
      </c>
      <c r="AM33" s="259">
        <v>7.8E-2</v>
      </c>
      <c r="AN33" s="259">
        <v>0.104</v>
      </c>
      <c r="AO33" s="259">
        <v>0.11700000000000001</v>
      </c>
      <c r="AP33" s="259">
        <v>0.127</v>
      </c>
      <c r="AQ33" s="259">
        <v>0.13</v>
      </c>
      <c r="AR33" s="259">
        <v>0.13900000000000001</v>
      </c>
      <c r="AS33" s="259">
        <v>0.14599999999999999</v>
      </c>
    </row>
    <row r="34" spans="1:45" s="259" customFormat="1">
      <c r="A34" s="259" t="s">
        <v>356</v>
      </c>
      <c r="B34" s="259" t="s">
        <v>122</v>
      </c>
      <c r="C34" s="262">
        <v>45.366766666766672</v>
      </c>
      <c r="D34" s="262">
        <v>-71.466566666566663</v>
      </c>
      <c r="E34" s="263">
        <f>IF(OR(C34="",D34=""),"",ACOS((SIN(RADIANS(C34)) * SIN(RADIANS('Hydrologie-Méthode rationnelle'!$C$22))) + (COS(RADIANS(C34)) * COS(RADIANS('Hydrologie-Méthode rationnelle'!$C$22))) * (COS(RADIANS(D34) - RADIANS('Hydrologie-Méthode rationnelle'!$C$23)))) * 6371)</f>
        <v>8572.6970438193875</v>
      </c>
      <c r="F34" s="259">
        <v>345</v>
      </c>
      <c r="G34" s="259" t="s">
        <v>76</v>
      </c>
      <c r="H34" s="259" t="s">
        <v>92</v>
      </c>
      <c r="I34" s="259" t="s">
        <v>311</v>
      </c>
      <c r="J34" s="259">
        <v>44.274999999999999</v>
      </c>
      <c r="K34" s="259">
        <v>19.859000000000002</v>
      </c>
      <c r="L34" s="259">
        <v>27.065999999999999</v>
      </c>
      <c r="M34" s="259">
        <v>31.824999999999999</v>
      </c>
      <c r="N34" s="259">
        <v>36.384999999999998</v>
      </c>
      <c r="O34" s="259">
        <v>37.831000000000003</v>
      </c>
      <c r="P34" s="259">
        <v>42.283000000000001</v>
      </c>
      <c r="Q34" s="259">
        <v>46.7</v>
      </c>
      <c r="R34" s="259">
        <v>-0.69599999999999995</v>
      </c>
      <c r="S34" s="259">
        <v>-0.71</v>
      </c>
      <c r="T34" s="259">
        <v>-0.71599999999999997</v>
      </c>
      <c r="U34" s="259">
        <v>-0.72</v>
      </c>
      <c r="V34" s="259">
        <v>-0.72099999999999997</v>
      </c>
      <c r="W34" s="259">
        <v>-0.72499999999999998</v>
      </c>
      <c r="X34" s="259">
        <v>-0.72699999999999998</v>
      </c>
      <c r="Y34" s="259">
        <v>24.468</v>
      </c>
      <c r="Z34" s="259">
        <v>33.676000000000002</v>
      </c>
      <c r="AA34" s="259">
        <v>39.808</v>
      </c>
      <c r="AB34" s="259">
        <v>45.709000000000003</v>
      </c>
      <c r="AC34" s="259">
        <v>47.582999999999998</v>
      </c>
      <c r="AD34" s="259">
        <v>53.366</v>
      </c>
      <c r="AE34" s="259">
        <v>59.113999999999997</v>
      </c>
      <c r="AF34" s="259">
        <v>-0.79800000000000004</v>
      </c>
      <c r="AG34" s="259">
        <v>-0.81599999999999995</v>
      </c>
      <c r="AH34" s="259">
        <v>-0.82499999999999996</v>
      </c>
      <c r="AI34" s="259">
        <v>-0.83099999999999996</v>
      </c>
      <c r="AJ34" s="259">
        <v>-0.83299999999999996</v>
      </c>
      <c r="AK34" s="259">
        <v>-0.83699999999999997</v>
      </c>
      <c r="AL34" s="259">
        <v>-0.84099999999999997</v>
      </c>
      <c r="AM34" s="259">
        <v>0.112</v>
      </c>
      <c r="AN34" s="259">
        <v>0.115</v>
      </c>
      <c r="AO34" s="259">
        <v>0.11700000000000001</v>
      </c>
      <c r="AP34" s="259">
        <v>0.11899999999999999</v>
      </c>
      <c r="AQ34" s="259">
        <v>0.11899999999999999</v>
      </c>
      <c r="AR34" s="259">
        <v>0.121</v>
      </c>
      <c r="AS34" s="259">
        <v>0.122</v>
      </c>
    </row>
    <row r="35" spans="1:45" s="259" customFormat="1">
      <c r="A35" s="259" t="s">
        <v>357</v>
      </c>
      <c r="B35" s="259" t="s">
        <v>123</v>
      </c>
      <c r="C35" s="262">
        <v>45.600100000100007</v>
      </c>
      <c r="D35" s="262">
        <v>-70.866566666566655</v>
      </c>
      <c r="E35" s="263">
        <f>IF(OR(C35="",D35=""),"",ACOS((SIN(RADIANS(C35)) * SIN(RADIANS('Hydrologie-Méthode rationnelle'!$C$22))) + (COS(RADIANS(C35)) * COS(RADIANS('Hydrologie-Méthode rationnelle'!$C$22))) * (COS(RADIANS(D35) - RADIANS('Hydrologie-Méthode rationnelle'!$C$23)))) * 6371)</f>
        <v>8533.3772491993259</v>
      </c>
      <c r="F35" s="259">
        <v>426</v>
      </c>
      <c r="G35" s="259" t="s">
        <v>84</v>
      </c>
      <c r="H35" s="259" t="s">
        <v>55</v>
      </c>
      <c r="I35" s="259" t="s">
        <v>312</v>
      </c>
      <c r="J35" s="259">
        <v>32.643999999999998</v>
      </c>
      <c r="K35" s="259">
        <v>16.335999999999999</v>
      </c>
      <c r="L35" s="259">
        <v>21.695</v>
      </c>
      <c r="M35" s="259">
        <v>25.241</v>
      </c>
      <c r="N35" s="259">
        <v>28.641999999999999</v>
      </c>
      <c r="O35" s="259">
        <v>29.721</v>
      </c>
      <c r="P35" s="259">
        <v>33.043999999999997</v>
      </c>
      <c r="Q35" s="259">
        <v>36.343000000000004</v>
      </c>
      <c r="R35" s="259">
        <v>-0.64200000000000002</v>
      </c>
      <c r="S35" s="259">
        <v>-0.64400000000000002</v>
      </c>
      <c r="T35" s="259">
        <v>-0.64500000000000002</v>
      </c>
      <c r="U35" s="259">
        <v>-0.64600000000000002</v>
      </c>
      <c r="V35" s="259">
        <v>-0.64600000000000002</v>
      </c>
      <c r="W35" s="259">
        <v>-0.64600000000000002</v>
      </c>
      <c r="X35" s="259">
        <v>-0.64700000000000002</v>
      </c>
      <c r="Y35" s="259">
        <v>18.756</v>
      </c>
      <c r="Z35" s="259">
        <v>25.364000000000001</v>
      </c>
      <c r="AA35" s="259">
        <v>29.74</v>
      </c>
      <c r="AB35" s="259">
        <v>33.939</v>
      </c>
      <c r="AC35" s="259">
        <v>35.271000000000001</v>
      </c>
      <c r="AD35" s="259">
        <v>39.374000000000002</v>
      </c>
      <c r="AE35" s="259">
        <v>43.447000000000003</v>
      </c>
      <c r="AF35" s="259">
        <v>-0.71099999999999997</v>
      </c>
      <c r="AG35" s="259">
        <v>-0.72099999999999997</v>
      </c>
      <c r="AH35" s="259">
        <v>-0.72599999999999998</v>
      </c>
      <c r="AI35" s="259">
        <v>-0.72899999999999998</v>
      </c>
      <c r="AJ35" s="259">
        <v>-0.73</v>
      </c>
      <c r="AK35" s="259">
        <v>-0.73199999999999998</v>
      </c>
      <c r="AL35" s="259">
        <v>-0.73399999999999999</v>
      </c>
      <c r="AM35" s="259">
        <v>7.6999999999999999E-2</v>
      </c>
      <c r="AN35" s="259">
        <v>8.7999999999999995E-2</v>
      </c>
      <c r="AO35" s="259">
        <v>9.2999999999999999E-2</v>
      </c>
      <c r="AP35" s="259">
        <v>9.6000000000000002E-2</v>
      </c>
      <c r="AQ35" s="259">
        <v>9.7000000000000003E-2</v>
      </c>
      <c r="AR35" s="259">
        <v>0.1</v>
      </c>
      <c r="AS35" s="259">
        <v>0.10199999999999999</v>
      </c>
    </row>
    <row r="36" spans="1:45" s="259" customFormat="1">
      <c r="A36" s="259" t="s">
        <v>124</v>
      </c>
      <c r="B36" s="259" t="s">
        <v>125</v>
      </c>
      <c r="C36" s="262">
        <v>46.816766666766675</v>
      </c>
      <c r="D36" s="262">
        <v>-71.083233333233323</v>
      </c>
      <c r="E36" s="263">
        <f>IF(OR(C36="",D36=""),"",ACOS((SIN(RADIANS(C36)) * SIN(RADIANS('Hydrologie-Méthode rationnelle'!$C$22))) + (COS(RADIANS(C36)) * COS(RADIANS('Hydrologie-Méthode rationnelle'!$C$22))) * (COS(RADIANS(D36) - RADIANS('Hydrologie-Méthode rationnelle'!$C$23)))) * 6371)</f>
        <v>8582.2322111285011</v>
      </c>
      <c r="F36" s="259">
        <v>69</v>
      </c>
      <c r="G36" s="259" t="s">
        <v>126</v>
      </c>
      <c r="H36" s="259" t="s">
        <v>95</v>
      </c>
      <c r="I36" s="259" t="s">
        <v>306</v>
      </c>
      <c r="J36" s="259">
        <v>34.15</v>
      </c>
      <c r="K36" s="259">
        <v>18.459</v>
      </c>
      <c r="L36" s="259">
        <v>23.974</v>
      </c>
      <c r="M36" s="259">
        <v>27.616</v>
      </c>
      <c r="N36" s="259">
        <v>31.105</v>
      </c>
      <c r="O36" s="259">
        <v>32.212000000000003</v>
      </c>
      <c r="P36" s="259">
        <v>35.618000000000002</v>
      </c>
      <c r="Q36" s="259">
        <v>38.997</v>
      </c>
      <c r="R36" s="259">
        <v>-0.61699999999999999</v>
      </c>
      <c r="S36" s="259">
        <v>-0.63100000000000001</v>
      </c>
      <c r="T36" s="259">
        <v>-0.63800000000000001</v>
      </c>
      <c r="U36" s="259">
        <v>-0.64200000000000002</v>
      </c>
      <c r="V36" s="259">
        <v>-0.64400000000000002</v>
      </c>
      <c r="W36" s="259">
        <v>-0.64700000000000002</v>
      </c>
      <c r="X36" s="259">
        <v>-0.65</v>
      </c>
      <c r="Y36" s="259">
        <v>21.82</v>
      </c>
      <c r="Z36" s="259">
        <v>29.202999999999999</v>
      </c>
      <c r="AA36" s="259">
        <v>34.106999999999999</v>
      </c>
      <c r="AB36" s="259">
        <v>38.82</v>
      </c>
      <c r="AC36" s="259">
        <v>40.317</v>
      </c>
      <c r="AD36" s="259">
        <v>44.93</v>
      </c>
      <c r="AE36" s="259">
        <v>49.515000000000001</v>
      </c>
      <c r="AF36" s="259">
        <v>-0.69899999999999995</v>
      </c>
      <c r="AG36" s="259">
        <v>-0.72699999999999998</v>
      </c>
      <c r="AH36" s="259">
        <v>-0.74</v>
      </c>
      <c r="AI36" s="259">
        <v>-0.749</v>
      </c>
      <c r="AJ36" s="259">
        <v>-0.752</v>
      </c>
      <c r="AK36" s="259">
        <v>-0.75900000000000001</v>
      </c>
      <c r="AL36" s="259">
        <v>-0.76500000000000001</v>
      </c>
      <c r="AM36" s="259">
        <v>0.1</v>
      </c>
      <c r="AN36" s="259">
        <v>0.11700000000000001</v>
      </c>
      <c r="AO36" s="259">
        <v>0.125</v>
      </c>
      <c r="AP36" s="259">
        <v>0.13100000000000001</v>
      </c>
      <c r="AQ36" s="259">
        <v>0.13300000000000001</v>
      </c>
      <c r="AR36" s="259">
        <v>0.13700000000000001</v>
      </c>
      <c r="AS36" s="259">
        <v>0.14099999999999999</v>
      </c>
    </row>
    <row r="37" spans="1:45" s="259" customFormat="1">
      <c r="A37" s="259" t="s">
        <v>127</v>
      </c>
      <c r="B37" s="259" t="s">
        <v>128</v>
      </c>
      <c r="C37" s="262">
        <v>45.366766666766672</v>
      </c>
      <c r="D37" s="262">
        <v>-71.816566666566658</v>
      </c>
      <c r="E37" s="263">
        <f>IF(OR(C37="",D37=""),"",ACOS((SIN(RADIANS(C37)) * SIN(RADIANS('Hydrologie-Méthode rationnelle'!$C$22))) + (COS(RADIANS(C37)) * COS(RADIANS('Hydrologie-Méthode rationnelle'!$C$22))) * (COS(RADIANS(D37) - RADIANS('Hydrologie-Méthode rationnelle'!$C$23)))) * 6371)</f>
        <v>8599.3077015541585</v>
      </c>
      <c r="F37" s="259">
        <v>181</v>
      </c>
      <c r="G37" s="259" t="s">
        <v>129</v>
      </c>
      <c r="H37" s="259" t="s">
        <v>292</v>
      </c>
      <c r="I37" s="259" t="s">
        <v>297</v>
      </c>
      <c r="J37" s="259">
        <v>38.362000000000002</v>
      </c>
      <c r="K37" s="259">
        <v>19.766999999999999</v>
      </c>
      <c r="L37" s="259">
        <v>25.562999999999999</v>
      </c>
      <c r="M37" s="259">
        <v>29.399000000000001</v>
      </c>
      <c r="N37" s="259">
        <v>33.076999999999998</v>
      </c>
      <c r="O37" s="259">
        <v>34.243000000000002</v>
      </c>
      <c r="P37" s="259">
        <v>37.835999999999999</v>
      </c>
      <c r="Q37" s="259">
        <v>41.402000000000001</v>
      </c>
      <c r="R37" s="259">
        <v>-0.67300000000000004</v>
      </c>
      <c r="S37" s="259">
        <v>-0.67200000000000004</v>
      </c>
      <c r="T37" s="259">
        <v>-0.67100000000000004</v>
      </c>
      <c r="U37" s="259">
        <v>-0.67100000000000004</v>
      </c>
      <c r="V37" s="259">
        <v>-0.67100000000000004</v>
      </c>
      <c r="W37" s="259">
        <v>-0.67</v>
      </c>
      <c r="X37" s="259">
        <v>-0.67</v>
      </c>
      <c r="Y37" s="259">
        <v>23.646000000000001</v>
      </c>
      <c r="Z37" s="259">
        <v>30.823</v>
      </c>
      <c r="AA37" s="259">
        <v>35.58</v>
      </c>
      <c r="AB37" s="259">
        <v>40.143999999999998</v>
      </c>
      <c r="AC37" s="259">
        <v>41.591999999999999</v>
      </c>
      <c r="AD37" s="259">
        <v>46.054000000000002</v>
      </c>
      <c r="AE37" s="259">
        <v>50.484999999999999</v>
      </c>
      <c r="AF37" s="259">
        <v>-0.76100000000000001</v>
      </c>
      <c r="AG37" s="259">
        <v>-0.76300000000000001</v>
      </c>
      <c r="AH37" s="259">
        <v>-0.76400000000000001</v>
      </c>
      <c r="AI37" s="259">
        <v>-0.76500000000000001</v>
      </c>
      <c r="AJ37" s="259">
        <v>-0.76500000000000001</v>
      </c>
      <c r="AK37" s="259">
        <v>-0.76600000000000001</v>
      </c>
      <c r="AL37" s="259">
        <v>-0.76600000000000001</v>
      </c>
      <c r="AM37" s="259">
        <v>9.8000000000000004E-2</v>
      </c>
      <c r="AN37" s="259">
        <v>0.10299999999999999</v>
      </c>
      <c r="AO37" s="259">
        <v>0.105</v>
      </c>
      <c r="AP37" s="259">
        <v>0.107</v>
      </c>
      <c r="AQ37" s="259">
        <v>0.108</v>
      </c>
      <c r="AR37" s="259">
        <v>0.109</v>
      </c>
      <c r="AS37" s="259">
        <v>0.11</v>
      </c>
    </row>
    <row r="38" spans="1:45" s="259" customFormat="1">
      <c r="A38" s="259" t="s">
        <v>130</v>
      </c>
      <c r="B38" s="259" t="s">
        <v>131</v>
      </c>
      <c r="C38" s="262">
        <v>45.616766666766672</v>
      </c>
      <c r="D38" s="262">
        <v>-71.366566666566655</v>
      </c>
      <c r="E38" s="263">
        <f>IF(OR(C38="",D38=""),"",ACOS((SIN(RADIANS(C38)) * SIN(RADIANS('Hydrologie-Méthode rationnelle'!$C$22))) + (COS(RADIANS(C38)) * COS(RADIANS('Hydrologie-Méthode rationnelle'!$C$22))) * (COS(RADIANS(D38) - RADIANS('Hydrologie-Méthode rationnelle'!$C$23)))) * 6371)</f>
        <v>8571.5986472258191</v>
      </c>
      <c r="F38" s="259">
        <v>266</v>
      </c>
      <c r="G38" s="259" t="s">
        <v>82</v>
      </c>
      <c r="H38" s="259" t="s">
        <v>55</v>
      </c>
      <c r="I38" s="259" t="s">
        <v>299</v>
      </c>
      <c r="J38" s="259">
        <v>54.54</v>
      </c>
      <c r="K38" s="259">
        <v>20.704999999999998</v>
      </c>
      <c r="L38" s="259">
        <v>28.911999999999999</v>
      </c>
      <c r="M38" s="259">
        <v>34.313000000000002</v>
      </c>
      <c r="N38" s="259">
        <v>39.479999999999997</v>
      </c>
      <c r="O38" s="259">
        <v>41.116999999999997</v>
      </c>
      <c r="P38" s="259">
        <v>46.155999999999999</v>
      </c>
      <c r="Q38" s="259">
        <v>51.152999999999999</v>
      </c>
      <c r="R38" s="259">
        <v>-0.65400000000000003</v>
      </c>
      <c r="S38" s="259">
        <v>-0.66700000000000004</v>
      </c>
      <c r="T38" s="259">
        <v>-0.67200000000000004</v>
      </c>
      <c r="U38" s="259">
        <v>-0.67600000000000005</v>
      </c>
      <c r="V38" s="259">
        <v>-0.67700000000000005</v>
      </c>
      <c r="W38" s="259">
        <v>-0.67900000000000005</v>
      </c>
      <c r="X38" s="259">
        <v>-0.68100000000000005</v>
      </c>
      <c r="Y38" s="259">
        <v>25.312000000000001</v>
      </c>
      <c r="Z38" s="259">
        <v>41.247</v>
      </c>
      <c r="AA38" s="259">
        <v>52.561</v>
      </c>
      <c r="AB38" s="259">
        <v>63.783000000000001</v>
      </c>
      <c r="AC38" s="259">
        <v>67.400999999999996</v>
      </c>
      <c r="AD38" s="259">
        <v>78.691999999999993</v>
      </c>
      <c r="AE38" s="259">
        <v>90.075999999999993</v>
      </c>
      <c r="AF38" s="259">
        <v>-0.751</v>
      </c>
      <c r="AG38" s="259">
        <v>-0.83399999999999996</v>
      </c>
      <c r="AH38" s="259">
        <v>-0.87</v>
      </c>
      <c r="AI38" s="259">
        <v>-0.89600000000000002</v>
      </c>
      <c r="AJ38" s="259">
        <v>-0.90400000000000003</v>
      </c>
      <c r="AK38" s="259">
        <v>-0.92300000000000004</v>
      </c>
      <c r="AL38" s="259">
        <v>-0.93899999999999995</v>
      </c>
      <c r="AM38" s="259">
        <v>0.115</v>
      </c>
      <c r="AN38" s="259">
        <v>0.218</v>
      </c>
      <c r="AO38" s="259">
        <v>0.26900000000000002</v>
      </c>
      <c r="AP38" s="259">
        <v>0.308</v>
      </c>
      <c r="AQ38" s="259">
        <v>0.31900000000000001</v>
      </c>
      <c r="AR38" s="259">
        <v>0.34799999999999998</v>
      </c>
      <c r="AS38" s="259">
        <v>0.372</v>
      </c>
    </row>
    <row r="39" spans="1:45" s="259" customFormat="1">
      <c r="A39" s="259" t="s">
        <v>358</v>
      </c>
      <c r="B39" s="259" t="s">
        <v>132</v>
      </c>
      <c r="C39" s="262">
        <v>45.316766666766675</v>
      </c>
      <c r="D39" s="262">
        <v>-71.399899999900001</v>
      </c>
      <c r="E39" s="263">
        <f>IF(OR(C39="",D39=""),"",ACOS((SIN(RADIANS(C39)) * SIN(RADIANS('Hydrologie-Méthode rationnelle'!$C$22))) + (COS(RADIANS(C39)) * COS(RADIANS('Hydrologie-Méthode rationnelle'!$C$22))) * (COS(RADIANS(D39) - RADIANS('Hydrologie-Méthode rationnelle'!$C$23)))) * 6371)</f>
        <v>8566.337273190642</v>
      </c>
      <c r="F39" s="259">
        <v>444</v>
      </c>
      <c r="G39" s="259" t="s">
        <v>133</v>
      </c>
      <c r="H39" s="259" t="s">
        <v>134</v>
      </c>
      <c r="I39" s="259" t="s">
        <v>301</v>
      </c>
      <c r="J39" s="259">
        <v>52.186</v>
      </c>
      <c r="K39" s="259">
        <v>21.148</v>
      </c>
      <c r="L39" s="259">
        <v>28.765000000000001</v>
      </c>
      <c r="M39" s="259">
        <v>33.777999999999999</v>
      </c>
      <c r="N39" s="259">
        <v>38.575000000000003</v>
      </c>
      <c r="O39" s="259">
        <v>40.095999999999997</v>
      </c>
      <c r="P39" s="259">
        <v>44.774999999999999</v>
      </c>
      <c r="Q39" s="259">
        <v>49.414999999999999</v>
      </c>
      <c r="R39" s="259">
        <v>-0.71599999999999997</v>
      </c>
      <c r="S39" s="259">
        <v>-0.71299999999999997</v>
      </c>
      <c r="T39" s="259">
        <v>-0.71199999999999997</v>
      </c>
      <c r="U39" s="259">
        <v>-0.71099999999999997</v>
      </c>
      <c r="V39" s="259">
        <v>-0.71099999999999997</v>
      </c>
      <c r="W39" s="259">
        <v>-0.71</v>
      </c>
      <c r="X39" s="259">
        <v>-0.71</v>
      </c>
      <c r="Y39" s="259">
        <v>25.14</v>
      </c>
      <c r="Z39" s="259">
        <v>37.154000000000003</v>
      </c>
      <c r="AA39" s="259">
        <v>45.539000000000001</v>
      </c>
      <c r="AB39" s="259">
        <v>53.823999999999998</v>
      </c>
      <c r="AC39" s="259">
        <v>56.493000000000002</v>
      </c>
      <c r="AD39" s="259">
        <v>64.816999999999993</v>
      </c>
      <c r="AE39" s="259">
        <v>73.210999999999999</v>
      </c>
      <c r="AF39" s="259">
        <v>-0.80100000000000005</v>
      </c>
      <c r="AG39" s="259">
        <v>-0.83599999999999997</v>
      </c>
      <c r="AH39" s="259">
        <v>-0.85399999999999998</v>
      </c>
      <c r="AI39" s="259">
        <v>-0.86799999999999999</v>
      </c>
      <c r="AJ39" s="259">
        <v>-0.872</v>
      </c>
      <c r="AK39" s="259">
        <v>-0.88400000000000001</v>
      </c>
      <c r="AL39" s="259">
        <v>-0.89300000000000002</v>
      </c>
      <c r="AM39" s="259">
        <v>8.6999999999999994E-2</v>
      </c>
      <c r="AN39" s="259">
        <v>0.13700000000000001</v>
      </c>
      <c r="AO39" s="259">
        <v>0.16500000000000001</v>
      </c>
      <c r="AP39" s="259">
        <v>0.188</v>
      </c>
      <c r="AQ39" s="259">
        <v>0.19400000000000001</v>
      </c>
      <c r="AR39" s="259">
        <v>0.21299999999999999</v>
      </c>
      <c r="AS39" s="259">
        <v>0.22900000000000001</v>
      </c>
    </row>
    <row r="40" spans="1:45" s="259" customFormat="1">
      <c r="A40" s="259" t="s">
        <v>135</v>
      </c>
      <c r="B40" s="259" t="s">
        <v>136</v>
      </c>
      <c r="C40" s="262">
        <v>45.500100000100005</v>
      </c>
      <c r="D40" s="262">
        <v>-73.566566666566658</v>
      </c>
      <c r="E40" s="263">
        <f>IF(OR(C40="",D40=""),"",ACOS((SIN(RADIANS(C40)) * SIN(RADIANS('Hydrologie-Méthode rationnelle'!$C$22))) + (COS(RADIANS(C40)) * COS(RADIANS('Hydrologie-Méthode rationnelle'!$C$22))) * (COS(RADIANS(D40) - RADIANS('Hydrologie-Méthode rationnelle'!$C$23)))) * 6371)</f>
        <v>8735.8240412877512</v>
      </c>
      <c r="F40" s="259">
        <v>73</v>
      </c>
      <c r="G40" s="259" t="s">
        <v>137</v>
      </c>
      <c r="H40" s="259" t="s">
        <v>138</v>
      </c>
      <c r="I40" s="259" t="s">
        <v>313</v>
      </c>
      <c r="J40" s="259">
        <v>53.899000000000001</v>
      </c>
      <c r="K40" s="259">
        <v>20.806999999999999</v>
      </c>
      <c r="L40" s="259">
        <v>28.245999999999999</v>
      </c>
      <c r="M40" s="259">
        <v>33.146999999999998</v>
      </c>
      <c r="N40" s="259">
        <v>37.840000000000003</v>
      </c>
      <c r="O40" s="259">
        <v>39.326999999999998</v>
      </c>
      <c r="P40" s="259">
        <v>43.905000000000001</v>
      </c>
      <c r="Q40" s="259">
        <v>48.445999999999998</v>
      </c>
      <c r="R40" s="259">
        <v>-0.68700000000000006</v>
      </c>
      <c r="S40" s="259">
        <v>-0.68700000000000006</v>
      </c>
      <c r="T40" s="259">
        <v>-0.68700000000000006</v>
      </c>
      <c r="U40" s="259">
        <v>-0.68700000000000006</v>
      </c>
      <c r="V40" s="259">
        <v>-0.68700000000000006</v>
      </c>
      <c r="W40" s="259">
        <v>-0.68700000000000006</v>
      </c>
      <c r="X40" s="259">
        <v>-0.68700000000000006</v>
      </c>
      <c r="Y40" s="259">
        <v>26.07</v>
      </c>
      <c r="Z40" s="259">
        <v>39.801000000000002</v>
      </c>
      <c r="AA40" s="259">
        <v>49.545000000000002</v>
      </c>
      <c r="AB40" s="259">
        <v>59.235999999999997</v>
      </c>
      <c r="AC40" s="259">
        <v>62.366999999999997</v>
      </c>
      <c r="AD40" s="259">
        <v>72.153999999999996</v>
      </c>
      <c r="AE40" s="259">
        <v>82.046000000000006</v>
      </c>
      <c r="AF40" s="259">
        <v>-0.79600000000000004</v>
      </c>
      <c r="AG40" s="259">
        <v>-0.84899999999999998</v>
      </c>
      <c r="AH40" s="259">
        <v>-0.875</v>
      </c>
      <c r="AI40" s="259">
        <v>-0.89400000000000002</v>
      </c>
      <c r="AJ40" s="259">
        <v>-0.9</v>
      </c>
      <c r="AK40" s="259">
        <v>-0.91500000000000004</v>
      </c>
      <c r="AL40" s="259">
        <v>-0.92800000000000005</v>
      </c>
      <c r="AM40" s="259">
        <v>0.124</v>
      </c>
      <c r="AN40" s="259">
        <v>0.20200000000000001</v>
      </c>
      <c r="AO40" s="259">
        <v>0.24399999999999999</v>
      </c>
      <c r="AP40" s="259">
        <v>0.27800000000000002</v>
      </c>
      <c r="AQ40" s="259">
        <v>0.28799999999999998</v>
      </c>
      <c r="AR40" s="259">
        <v>0.315</v>
      </c>
      <c r="AS40" s="259">
        <v>0.33800000000000002</v>
      </c>
    </row>
    <row r="41" spans="1:45" s="259" customFormat="1">
      <c r="A41" s="259" t="s">
        <v>359</v>
      </c>
      <c r="B41" s="259" t="s">
        <v>139</v>
      </c>
      <c r="C41" s="262">
        <v>45.450100000100008</v>
      </c>
      <c r="D41" s="262">
        <v>-71.149899999900001</v>
      </c>
      <c r="E41" s="263">
        <f>IF(OR(C41="",D41=""),"",ACOS((SIN(RADIANS(C41)) * SIN(RADIANS('Hydrologie-Méthode rationnelle'!$C$22))) + (COS(RADIANS(C41)) * COS(RADIANS('Hydrologie-Méthode rationnelle'!$C$22))) * (COS(RADIANS(D41) - RADIANS('Hydrologie-Méthode rationnelle'!$C$23)))) * 6371)</f>
        <v>8550.8348067445677</v>
      </c>
      <c r="F41" s="259">
        <v>1111</v>
      </c>
      <c r="G41" s="259" t="s">
        <v>126</v>
      </c>
      <c r="H41" s="259" t="s">
        <v>77</v>
      </c>
      <c r="I41" s="259" t="s">
        <v>305</v>
      </c>
      <c r="J41" s="259">
        <v>31.210999999999999</v>
      </c>
      <c r="K41" s="259">
        <v>16.731000000000002</v>
      </c>
      <c r="L41" s="259">
        <v>20.495000000000001</v>
      </c>
      <c r="M41" s="259">
        <v>22.977</v>
      </c>
      <c r="N41" s="259">
        <v>25.353000000000002</v>
      </c>
      <c r="O41" s="259">
        <v>26.106000000000002</v>
      </c>
      <c r="P41" s="259">
        <v>28.422999999999998</v>
      </c>
      <c r="Q41" s="259">
        <v>30.72</v>
      </c>
      <c r="R41" s="259">
        <v>-0.59099999999999997</v>
      </c>
      <c r="S41" s="259">
        <v>-0.58899999999999997</v>
      </c>
      <c r="T41" s="259">
        <v>-0.58799999999999997</v>
      </c>
      <c r="U41" s="259">
        <v>-0.58699999999999997</v>
      </c>
      <c r="V41" s="259">
        <v>-0.58699999999999997</v>
      </c>
      <c r="W41" s="259">
        <v>-0.58599999999999997</v>
      </c>
      <c r="X41" s="259">
        <v>-0.58599999999999997</v>
      </c>
      <c r="Y41" s="259">
        <v>19.125</v>
      </c>
      <c r="Z41" s="259">
        <v>24.218</v>
      </c>
      <c r="AA41" s="259">
        <v>27.620999999999999</v>
      </c>
      <c r="AB41" s="259">
        <v>30.902999999999999</v>
      </c>
      <c r="AC41" s="259">
        <v>31.946000000000002</v>
      </c>
      <c r="AD41" s="259">
        <v>35.167999999999999</v>
      </c>
      <c r="AE41" s="259">
        <v>38.372999999999998</v>
      </c>
      <c r="AF41" s="259">
        <v>-0.65700000000000003</v>
      </c>
      <c r="AG41" s="259">
        <v>-0.67</v>
      </c>
      <c r="AH41" s="259">
        <v>-0.67700000000000005</v>
      </c>
      <c r="AI41" s="259">
        <v>-0.68300000000000005</v>
      </c>
      <c r="AJ41" s="259">
        <v>-0.68400000000000005</v>
      </c>
      <c r="AK41" s="259">
        <v>-0.68899999999999995</v>
      </c>
      <c r="AL41" s="259">
        <v>-0.69299999999999995</v>
      </c>
      <c r="AM41" s="259">
        <v>8.1000000000000003E-2</v>
      </c>
      <c r="AN41" s="259">
        <v>0.105</v>
      </c>
      <c r="AO41" s="259">
        <v>0.11700000000000001</v>
      </c>
      <c r="AP41" s="259">
        <v>0.128</v>
      </c>
      <c r="AQ41" s="259">
        <v>0.13100000000000001</v>
      </c>
      <c r="AR41" s="259">
        <v>0.13900000000000001</v>
      </c>
      <c r="AS41" s="259">
        <v>0.14699999999999999</v>
      </c>
    </row>
    <row r="42" spans="1:45" s="259" customFormat="1">
      <c r="A42" s="259" t="s">
        <v>360</v>
      </c>
      <c r="B42" s="259" t="s">
        <v>140</v>
      </c>
      <c r="C42" s="262">
        <v>45.566766666766675</v>
      </c>
      <c r="D42" s="262">
        <v>-73.549899999899992</v>
      </c>
      <c r="E42" s="263">
        <f>IF(OR(C42="",D42=""),"",ACOS((SIN(RADIANS(C42)) * SIN(RADIANS('Hydrologie-Méthode rationnelle'!$C$22))) + (COS(RADIANS(C42)) * COS(RADIANS('Hydrologie-Méthode rationnelle'!$C$22))) * (COS(RADIANS(D42) - RADIANS('Hydrologie-Méthode rationnelle'!$C$23)))) * 6371)</f>
        <v>8736.0814343015445</v>
      </c>
      <c r="F42" s="259">
        <v>45</v>
      </c>
      <c r="G42" s="259" t="s">
        <v>94</v>
      </c>
      <c r="H42" s="259" t="s">
        <v>77</v>
      </c>
      <c r="I42" s="259" t="s">
        <v>302</v>
      </c>
      <c r="J42" s="259">
        <v>62.302</v>
      </c>
      <c r="K42" s="259">
        <v>19.614999999999998</v>
      </c>
      <c r="L42" s="259">
        <v>29.076000000000001</v>
      </c>
      <c r="M42" s="259">
        <v>35.273000000000003</v>
      </c>
      <c r="N42" s="259">
        <v>41.192</v>
      </c>
      <c r="O42" s="259">
        <v>43.066000000000003</v>
      </c>
      <c r="P42" s="259">
        <v>48.832000000000001</v>
      </c>
      <c r="Q42" s="259">
        <v>54.548000000000002</v>
      </c>
      <c r="R42" s="259">
        <v>-0.63900000000000001</v>
      </c>
      <c r="S42" s="259">
        <v>-0.65400000000000003</v>
      </c>
      <c r="T42" s="259">
        <v>-0.66</v>
      </c>
      <c r="U42" s="259">
        <v>-0.66400000000000003</v>
      </c>
      <c r="V42" s="259">
        <v>-0.66500000000000004</v>
      </c>
      <c r="W42" s="259">
        <v>-0.66800000000000004</v>
      </c>
      <c r="X42" s="259">
        <v>-0.67100000000000004</v>
      </c>
      <c r="Y42" s="259">
        <v>23.332999999999998</v>
      </c>
      <c r="Z42" s="259">
        <v>44.603999999999999</v>
      </c>
      <c r="AA42" s="259">
        <v>61.167999999999999</v>
      </c>
      <c r="AB42" s="259">
        <v>78.343000000000004</v>
      </c>
      <c r="AC42" s="259">
        <v>84.003</v>
      </c>
      <c r="AD42" s="259">
        <v>101.964</v>
      </c>
      <c r="AE42" s="259">
        <v>120.449</v>
      </c>
      <c r="AF42" s="259">
        <v>-0.72299999999999998</v>
      </c>
      <c r="AG42" s="259">
        <v>-0.85199999999999998</v>
      </c>
      <c r="AH42" s="259">
        <v>-0.90900000000000003</v>
      </c>
      <c r="AI42" s="259">
        <v>-0.95199999999999996</v>
      </c>
      <c r="AJ42" s="259">
        <v>-0.96299999999999997</v>
      </c>
      <c r="AK42" s="259">
        <v>-0.99299999999999999</v>
      </c>
      <c r="AL42" s="259">
        <v>-1.018</v>
      </c>
      <c r="AM42" s="259">
        <v>0.1</v>
      </c>
      <c r="AN42" s="259">
        <v>0.27900000000000003</v>
      </c>
      <c r="AO42" s="259">
        <v>0.375</v>
      </c>
      <c r="AP42" s="259">
        <v>0.45</v>
      </c>
      <c r="AQ42" s="259">
        <v>0.47099999999999997</v>
      </c>
      <c r="AR42" s="259">
        <v>0.52800000000000002</v>
      </c>
      <c r="AS42" s="259">
        <v>0.57499999999999996</v>
      </c>
    </row>
    <row r="43" spans="1:45" s="259" customFormat="1">
      <c r="A43" s="259" t="s">
        <v>361</v>
      </c>
      <c r="B43" s="259" t="s">
        <v>141</v>
      </c>
      <c r="C43" s="262">
        <v>45.500100000100005</v>
      </c>
      <c r="D43" s="262">
        <v>-73.616566666566655</v>
      </c>
      <c r="E43" s="263">
        <f>IF(OR(C43="",D43=""),"",ACOS((SIN(RADIANS(C43)) * SIN(RADIANS('Hydrologie-Méthode rationnelle'!$C$22))) + (COS(RADIANS(C43)) * COS(RADIANS('Hydrologie-Méthode rationnelle'!$C$22))) * (COS(RADIANS(D43) - RADIANS('Hydrologie-Méthode rationnelle'!$C$23)))) * 6371)</f>
        <v>8739.6377002353001</v>
      </c>
      <c r="F43" s="259">
        <v>132</v>
      </c>
      <c r="G43" s="259" t="s">
        <v>69</v>
      </c>
      <c r="H43" s="259" t="s">
        <v>86</v>
      </c>
      <c r="I43" s="259" t="s">
        <v>301</v>
      </c>
      <c r="J43" s="259">
        <v>38.082999999999998</v>
      </c>
      <c r="K43" s="259">
        <v>18.701000000000001</v>
      </c>
      <c r="L43" s="259">
        <v>24.373999999999999</v>
      </c>
      <c r="M43" s="259">
        <v>28.120999999999999</v>
      </c>
      <c r="N43" s="259">
        <v>31.712</v>
      </c>
      <c r="O43" s="259">
        <v>32.85</v>
      </c>
      <c r="P43" s="259">
        <v>36.356000000000002</v>
      </c>
      <c r="Q43" s="259">
        <v>39.834000000000003</v>
      </c>
      <c r="R43" s="259">
        <v>-0.66500000000000004</v>
      </c>
      <c r="S43" s="259">
        <v>-0.67100000000000004</v>
      </c>
      <c r="T43" s="259">
        <v>-0.67300000000000004</v>
      </c>
      <c r="U43" s="259">
        <v>-0.67500000000000004</v>
      </c>
      <c r="V43" s="259">
        <v>-0.67600000000000005</v>
      </c>
      <c r="W43" s="259">
        <v>-0.67700000000000005</v>
      </c>
      <c r="X43" s="259">
        <v>-0.67800000000000005</v>
      </c>
      <c r="Y43" s="259">
        <v>21.564</v>
      </c>
      <c r="Z43" s="259">
        <v>28.48</v>
      </c>
      <c r="AA43" s="259">
        <v>33.037999999999997</v>
      </c>
      <c r="AB43" s="259">
        <v>37.402000000000001</v>
      </c>
      <c r="AC43" s="259">
        <v>38.783999999999999</v>
      </c>
      <c r="AD43" s="259">
        <v>43.04</v>
      </c>
      <c r="AE43" s="259">
        <v>47.26</v>
      </c>
      <c r="AF43" s="259">
        <v>-0.73499999999999999</v>
      </c>
      <c r="AG43" s="259">
        <v>-0.747</v>
      </c>
      <c r="AH43" s="259">
        <v>-0.753</v>
      </c>
      <c r="AI43" s="259">
        <v>-0.75600000000000001</v>
      </c>
      <c r="AJ43" s="259">
        <v>-0.75700000000000001</v>
      </c>
      <c r="AK43" s="259">
        <v>-0.76</v>
      </c>
      <c r="AL43" s="259">
        <v>-0.76200000000000001</v>
      </c>
      <c r="AM43" s="259">
        <v>7.6999999999999999E-2</v>
      </c>
      <c r="AN43" s="259">
        <v>8.4000000000000005E-2</v>
      </c>
      <c r="AO43" s="259">
        <v>8.6999999999999994E-2</v>
      </c>
      <c r="AP43" s="259">
        <v>8.8999999999999996E-2</v>
      </c>
      <c r="AQ43" s="259">
        <v>8.8999999999999996E-2</v>
      </c>
      <c r="AR43" s="259">
        <v>9.0999999999999998E-2</v>
      </c>
      <c r="AS43" s="259">
        <v>9.1999999999999998E-2</v>
      </c>
    </row>
    <row r="44" spans="1:45" s="259" customFormat="1">
      <c r="A44" s="259" t="s">
        <v>362</v>
      </c>
      <c r="B44" s="259" t="s">
        <v>142</v>
      </c>
      <c r="C44" s="262">
        <v>45.516766666766678</v>
      </c>
      <c r="D44" s="262">
        <v>-73.566566666566658</v>
      </c>
      <c r="E44" s="263">
        <f>IF(OR(C44="",D44=""),"",ACOS((SIN(RADIANS(C44)) * SIN(RADIANS('Hydrologie-Méthode rationnelle'!$C$22))) + (COS(RADIANS(C44)) * COS(RADIANS('Hydrologie-Méthode rationnelle'!$C$22))) * (COS(RADIANS(D44) - RADIANS('Hydrologie-Méthode rationnelle'!$C$23)))) * 6371)</f>
        <v>8736.2056171570475</v>
      </c>
      <c r="F44" s="259">
        <v>41</v>
      </c>
      <c r="G44" s="259" t="s">
        <v>54</v>
      </c>
      <c r="H44" s="259" t="s">
        <v>143</v>
      </c>
      <c r="I44" s="259" t="s">
        <v>301</v>
      </c>
      <c r="J44" s="259">
        <v>38.756</v>
      </c>
      <c r="K44" s="259">
        <v>19.751000000000001</v>
      </c>
      <c r="L44" s="259">
        <v>26.248999999999999</v>
      </c>
      <c r="M44" s="259">
        <v>30.544</v>
      </c>
      <c r="N44" s="259">
        <v>34.661000000000001</v>
      </c>
      <c r="O44" s="259">
        <v>35.966000000000001</v>
      </c>
      <c r="P44" s="259">
        <v>39.987000000000002</v>
      </c>
      <c r="Q44" s="259">
        <v>43.976999999999997</v>
      </c>
      <c r="R44" s="259">
        <v>-0.69299999999999995</v>
      </c>
      <c r="S44" s="259">
        <v>-0.70299999999999996</v>
      </c>
      <c r="T44" s="259">
        <v>-0.70699999999999996</v>
      </c>
      <c r="U44" s="259">
        <v>-0.71</v>
      </c>
      <c r="V44" s="259">
        <v>-0.71099999999999997</v>
      </c>
      <c r="W44" s="259">
        <v>-0.71299999999999997</v>
      </c>
      <c r="X44" s="259">
        <v>-0.71399999999999997</v>
      </c>
      <c r="Y44" s="259">
        <v>21.783000000000001</v>
      </c>
      <c r="Z44" s="259">
        <v>28.696999999999999</v>
      </c>
      <c r="AA44" s="259">
        <v>33.274000000000001</v>
      </c>
      <c r="AB44" s="259">
        <v>37.662999999999997</v>
      </c>
      <c r="AC44" s="259">
        <v>39.055</v>
      </c>
      <c r="AD44" s="259">
        <v>43.344000000000001</v>
      </c>
      <c r="AE44" s="259">
        <v>47.600999999999999</v>
      </c>
      <c r="AF44" s="259">
        <v>-0.74199999999999999</v>
      </c>
      <c r="AG44" s="259">
        <v>-0.747</v>
      </c>
      <c r="AH44" s="259">
        <v>-0.75</v>
      </c>
      <c r="AI44" s="259">
        <v>-0.752</v>
      </c>
      <c r="AJ44" s="259">
        <v>-0.752</v>
      </c>
      <c r="AK44" s="259">
        <v>-0.753</v>
      </c>
      <c r="AL44" s="259">
        <v>-0.754</v>
      </c>
      <c r="AM44" s="259">
        <v>4.8000000000000001E-2</v>
      </c>
      <c r="AN44" s="259">
        <v>4.2999999999999997E-2</v>
      </c>
      <c r="AO44" s="259">
        <v>4.1000000000000002E-2</v>
      </c>
      <c r="AP44" s="259">
        <v>0.04</v>
      </c>
      <c r="AQ44" s="259">
        <v>3.9E-2</v>
      </c>
      <c r="AR44" s="259">
        <v>3.7999999999999999E-2</v>
      </c>
      <c r="AS44" s="259">
        <v>3.6999999999999998E-2</v>
      </c>
    </row>
    <row r="45" spans="1:45" s="259" customFormat="1">
      <c r="A45" s="259" t="s">
        <v>144</v>
      </c>
      <c r="B45" s="259" t="s">
        <v>145</v>
      </c>
      <c r="C45" s="262">
        <v>46.200100000100008</v>
      </c>
      <c r="D45" s="262">
        <v>-72.616566666566655</v>
      </c>
      <c r="E45" s="263">
        <f>IF(OR(C45="",D45=""),"",ACOS((SIN(RADIANS(C45)) * SIN(RADIANS('Hydrologie-Méthode rationnelle'!$C$22))) + (COS(RADIANS(C45)) * COS(RADIANS('Hydrologie-Méthode rationnelle'!$C$22))) * (COS(RADIANS(D45) - RADIANS('Hydrologie-Méthode rationnelle'!$C$23)))) * 6371)</f>
        <v>8680.5243920892699</v>
      </c>
      <c r="F45" s="259">
        <v>30</v>
      </c>
      <c r="G45" s="259" t="s">
        <v>146</v>
      </c>
      <c r="H45" s="259" t="s">
        <v>55</v>
      </c>
      <c r="I45" s="259" t="s">
        <v>311</v>
      </c>
      <c r="J45" s="259">
        <v>40.747</v>
      </c>
      <c r="K45" s="259">
        <v>18.111000000000001</v>
      </c>
      <c r="L45" s="259">
        <v>23.914000000000001</v>
      </c>
      <c r="M45" s="259">
        <v>27.736000000000001</v>
      </c>
      <c r="N45" s="259">
        <v>31.393000000000001</v>
      </c>
      <c r="O45" s="259">
        <v>32.551000000000002</v>
      </c>
      <c r="P45" s="259">
        <v>36.116999999999997</v>
      </c>
      <c r="Q45" s="259">
        <v>39.652999999999999</v>
      </c>
      <c r="R45" s="259">
        <v>-0.67400000000000004</v>
      </c>
      <c r="S45" s="259">
        <v>-0.69</v>
      </c>
      <c r="T45" s="259">
        <v>-0.69699999999999995</v>
      </c>
      <c r="U45" s="259">
        <v>-0.70199999999999996</v>
      </c>
      <c r="V45" s="259">
        <v>-0.70399999999999996</v>
      </c>
      <c r="W45" s="259">
        <v>-0.70699999999999996</v>
      </c>
      <c r="X45" s="259">
        <v>-0.71099999999999997</v>
      </c>
      <c r="Y45" s="259">
        <v>20.838999999999999</v>
      </c>
      <c r="Z45" s="259">
        <v>28.623999999999999</v>
      </c>
      <c r="AA45" s="259">
        <v>33.768999999999998</v>
      </c>
      <c r="AB45" s="259">
        <v>38.697000000000003</v>
      </c>
      <c r="AC45" s="259">
        <v>40.259</v>
      </c>
      <c r="AD45" s="259">
        <v>45.066000000000003</v>
      </c>
      <c r="AE45" s="259">
        <v>49.832999999999998</v>
      </c>
      <c r="AF45" s="259">
        <v>-0.74399999999999999</v>
      </c>
      <c r="AG45" s="259">
        <v>-0.77800000000000002</v>
      </c>
      <c r="AH45" s="259">
        <v>-0.79300000000000004</v>
      </c>
      <c r="AI45" s="259">
        <v>-0.80400000000000005</v>
      </c>
      <c r="AJ45" s="259">
        <v>-0.80700000000000005</v>
      </c>
      <c r="AK45" s="259">
        <v>-0.81499999999999995</v>
      </c>
      <c r="AL45" s="259">
        <v>-0.82199999999999995</v>
      </c>
      <c r="AM45" s="259">
        <v>7.3999999999999996E-2</v>
      </c>
      <c r="AN45" s="259">
        <v>9.5000000000000001E-2</v>
      </c>
      <c r="AO45" s="259">
        <v>0.104</v>
      </c>
      <c r="AP45" s="259">
        <v>0.111</v>
      </c>
      <c r="AQ45" s="259">
        <v>0.113</v>
      </c>
      <c r="AR45" s="259">
        <v>0.11700000000000001</v>
      </c>
      <c r="AS45" s="259">
        <v>0.121</v>
      </c>
    </row>
    <row r="46" spans="1:45" s="259" customFormat="1">
      <c r="A46" s="259" t="s">
        <v>147</v>
      </c>
      <c r="B46" s="259" t="s">
        <v>148</v>
      </c>
      <c r="C46" s="262">
        <v>45.116766666766672</v>
      </c>
      <c r="D46" s="262">
        <v>-74.049899999899992</v>
      </c>
      <c r="E46" s="263">
        <f>IF(OR(C46="",D46=""),"",ACOS((SIN(RADIANS(C46)) * SIN(RADIANS('Hydrologie-Méthode rationnelle'!$C$22))) + (COS(RADIANS(C46)) * COS(RADIANS('Hydrologie-Méthode rationnelle'!$C$22))) * (COS(RADIANS(D46) - RADIANS('Hydrologie-Méthode rationnelle'!$C$23)))) * 6371)</f>
        <v>8764.2239330596021</v>
      </c>
      <c r="F46" s="259">
        <v>45</v>
      </c>
      <c r="G46" s="259" t="s">
        <v>66</v>
      </c>
      <c r="H46" s="259" t="s">
        <v>95</v>
      </c>
      <c r="I46" s="259" t="s">
        <v>314</v>
      </c>
      <c r="J46" s="259">
        <v>40.289000000000001</v>
      </c>
      <c r="K46" s="259">
        <v>19.707999999999998</v>
      </c>
      <c r="L46" s="259">
        <v>25.747</v>
      </c>
      <c r="M46" s="259">
        <v>29.728999999999999</v>
      </c>
      <c r="N46" s="259">
        <v>33.542000000000002</v>
      </c>
      <c r="O46" s="259">
        <v>34.750999999999998</v>
      </c>
      <c r="P46" s="259">
        <v>38.470999999999997</v>
      </c>
      <c r="Q46" s="259">
        <v>42.161000000000001</v>
      </c>
      <c r="R46" s="259">
        <v>-0.69399999999999995</v>
      </c>
      <c r="S46" s="259">
        <v>-0.67900000000000005</v>
      </c>
      <c r="T46" s="259">
        <v>-0.67200000000000004</v>
      </c>
      <c r="U46" s="259">
        <v>-0.66700000000000004</v>
      </c>
      <c r="V46" s="259">
        <v>-0.66600000000000004</v>
      </c>
      <c r="W46" s="259">
        <v>-0.66200000000000003</v>
      </c>
      <c r="X46" s="259">
        <v>-0.65900000000000003</v>
      </c>
      <c r="Y46" s="259">
        <v>22.143999999999998</v>
      </c>
      <c r="Z46" s="259">
        <v>29.806999999999999</v>
      </c>
      <c r="AA46" s="259">
        <v>34.933999999999997</v>
      </c>
      <c r="AB46" s="259">
        <v>39.881999999999998</v>
      </c>
      <c r="AC46" s="259">
        <v>41.457000000000001</v>
      </c>
      <c r="AD46" s="259">
        <v>46.322000000000003</v>
      </c>
      <c r="AE46" s="259">
        <v>51.167999999999999</v>
      </c>
      <c r="AF46" s="259">
        <v>-0.752</v>
      </c>
      <c r="AG46" s="259">
        <v>-0.751</v>
      </c>
      <c r="AH46" s="259">
        <v>-0.751</v>
      </c>
      <c r="AI46" s="259">
        <v>-0.752</v>
      </c>
      <c r="AJ46" s="259">
        <v>-0.752</v>
      </c>
      <c r="AK46" s="259">
        <v>-0.753</v>
      </c>
      <c r="AL46" s="259">
        <v>-0.754</v>
      </c>
      <c r="AM46" s="259">
        <v>5.8999999999999997E-2</v>
      </c>
      <c r="AN46" s="259">
        <v>7.6999999999999999E-2</v>
      </c>
      <c r="AO46" s="259">
        <v>8.6999999999999994E-2</v>
      </c>
      <c r="AP46" s="259">
        <v>9.5000000000000001E-2</v>
      </c>
      <c r="AQ46" s="259">
        <v>9.7000000000000003E-2</v>
      </c>
      <c r="AR46" s="259">
        <v>0.104</v>
      </c>
      <c r="AS46" s="259">
        <v>0.109</v>
      </c>
    </row>
    <row r="47" spans="1:45" s="259" customFormat="1">
      <c r="A47" s="259" t="s">
        <v>363</v>
      </c>
      <c r="B47" s="259" t="s">
        <v>149</v>
      </c>
      <c r="C47" s="262">
        <v>45.166766666766662</v>
      </c>
      <c r="D47" s="262">
        <v>-73.666566666566666</v>
      </c>
      <c r="E47" s="263">
        <f>IF(OR(C47="",D47=""),"",ACOS((SIN(RADIANS(C47)) * SIN(RADIANS('Hydrologie-Méthode rationnelle'!$C$22))) + (COS(RADIANS(C47)) * COS(RADIANS('Hydrologie-Méthode rationnelle'!$C$22))) * (COS(RADIANS(D47) - RADIANS('Hydrologie-Méthode rationnelle'!$C$23)))) * 6371)</f>
        <v>8735.8892155744306</v>
      </c>
      <c r="F47" s="259">
        <v>53</v>
      </c>
      <c r="G47" s="259" t="s">
        <v>69</v>
      </c>
      <c r="H47" s="259" t="s">
        <v>292</v>
      </c>
      <c r="I47" s="259" t="s">
        <v>310</v>
      </c>
      <c r="J47" s="259">
        <v>36.162999999999997</v>
      </c>
      <c r="K47" s="259">
        <v>19.773</v>
      </c>
      <c r="L47" s="259">
        <v>25.082999999999998</v>
      </c>
      <c r="M47" s="259">
        <v>28.594999999999999</v>
      </c>
      <c r="N47" s="259">
        <v>31.960999999999999</v>
      </c>
      <c r="O47" s="259">
        <v>33.029000000000003</v>
      </c>
      <c r="P47" s="259">
        <v>36.316000000000003</v>
      </c>
      <c r="Q47" s="259">
        <v>39.579000000000001</v>
      </c>
      <c r="R47" s="259">
        <v>-0.67700000000000005</v>
      </c>
      <c r="S47" s="259">
        <v>-0.67600000000000005</v>
      </c>
      <c r="T47" s="259">
        <v>-0.67600000000000005</v>
      </c>
      <c r="U47" s="259">
        <v>-0.67600000000000005</v>
      </c>
      <c r="V47" s="259">
        <v>-0.67600000000000005</v>
      </c>
      <c r="W47" s="259">
        <v>-0.67600000000000005</v>
      </c>
      <c r="X47" s="259">
        <v>-0.67600000000000005</v>
      </c>
      <c r="Y47" s="259">
        <v>21.922000000000001</v>
      </c>
      <c r="Z47" s="259">
        <v>28.744</v>
      </c>
      <c r="AA47" s="259">
        <v>33.317</v>
      </c>
      <c r="AB47" s="259">
        <v>37.732999999999997</v>
      </c>
      <c r="AC47" s="259">
        <v>39.139000000000003</v>
      </c>
      <c r="AD47" s="259">
        <v>43.482999999999997</v>
      </c>
      <c r="AE47" s="259">
        <v>47.81</v>
      </c>
      <c r="AF47" s="259">
        <v>-0.72799999999999998</v>
      </c>
      <c r="AG47" s="259">
        <v>-0.74399999999999999</v>
      </c>
      <c r="AH47" s="259">
        <v>-0.751</v>
      </c>
      <c r="AI47" s="259">
        <v>-0.75700000000000001</v>
      </c>
      <c r="AJ47" s="259">
        <v>-0.75900000000000001</v>
      </c>
      <c r="AK47" s="259">
        <v>-0.76400000000000001</v>
      </c>
      <c r="AL47" s="259">
        <v>-0.76800000000000002</v>
      </c>
      <c r="AM47" s="259">
        <v>5.2999999999999999E-2</v>
      </c>
      <c r="AN47" s="259">
        <v>7.0999999999999994E-2</v>
      </c>
      <c r="AO47" s="259">
        <v>8.1000000000000003E-2</v>
      </c>
      <c r="AP47" s="259">
        <v>8.8999999999999996E-2</v>
      </c>
      <c r="AQ47" s="259">
        <v>9.0999999999999998E-2</v>
      </c>
      <c r="AR47" s="259">
        <v>9.8000000000000004E-2</v>
      </c>
      <c r="AS47" s="259">
        <v>0.10299999999999999</v>
      </c>
    </row>
    <row r="48" spans="1:45" s="259" customFormat="1">
      <c r="A48" s="259" t="s">
        <v>364</v>
      </c>
      <c r="B48" s="259" t="s">
        <v>150</v>
      </c>
      <c r="C48" s="262">
        <v>45.516766666766678</v>
      </c>
      <c r="D48" s="262">
        <v>-73.766566666566661</v>
      </c>
      <c r="E48" s="263">
        <f>IF(OR(C48="",D48=""),"",ACOS((SIN(RADIANS(C48)) * SIN(RADIANS('Hydrologie-Méthode rationnelle'!$C$22))) + (COS(RADIANS(C48)) * COS(RADIANS('Hydrologie-Méthode rationnelle'!$C$22))) * (COS(RADIANS(D48) - RADIANS('Hydrologie-Méthode rationnelle'!$C$23)))) * 6371)</f>
        <v>8751.4586547128092</v>
      </c>
      <c r="F48" s="259">
        <v>23</v>
      </c>
      <c r="G48" s="259" t="s">
        <v>86</v>
      </c>
      <c r="H48" s="259" t="s">
        <v>151</v>
      </c>
      <c r="I48" s="259" t="s">
        <v>303</v>
      </c>
      <c r="J48" s="259">
        <v>43.8</v>
      </c>
      <c r="K48" s="259">
        <v>19.306999999999999</v>
      </c>
      <c r="L48" s="259">
        <v>26.03</v>
      </c>
      <c r="M48" s="259">
        <v>30.47</v>
      </c>
      <c r="N48" s="259">
        <v>34.722999999999999</v>
      </c>
      <c r="O48" s="259">
        <v>36.072000000000003</v>
      </c>
      <c r="P48" s="259">
        <v>40.225000000000001</v>
      </c>
      <c r="Q48" s="259">
        <v>44.344999999999999</v>
      </c>
      <c r="R48" s="259">
        <v>-0.67400000000000004</v>
      </c>
      <c r="S48" s="259">
        <v>-0.68700000000000006</v>
      </c>
      <c r="T48" s="259">
        <v>-0.69299999999999995</v>
      </c>
      <c r="U48" s="259">
        <v>-0.69699999999999995</v>
      </c>
      <c r="V48" s="259">
        <v>-0.69799999999999995</v>
      </c>
      <c r="W48" s="259">
        <v>-0.70099999999999996</v>
      </c>
      <c r="X48" s="259">
        <v>-0.70299999999999996</v>
      </c>
      <c r="Y48" s="259">
        <v>25.065000000000001</v>
      </c>
      <c r="Z48" s="259">
        <v>34.712000000000003</v>
      </c>
      <c r="AA48" s="259">
        <v>41.127000000000002</v>
      </c>
      <c r="AB48" s="259">
        <v>47.292000000000002</v>
      </c>
      <c r="AC48" s="259">
        <v>49.25</v>
      </c>
      <c r="AD48" s="259">
        <v>55.286000000000001</v>
      </c>
      <c r="AE48" s="259">
        <v>61.283999999999999</v>
      </c>
      <c r="AF48" s="259">
        <v>-0.79900000000000004</v>
      </c>
      <c r="AG48" s="259">
        <v>-0.82499999999999996</v>
      </c>
      <c r="AH48" s="259">
        <v>-0.83599999999999997</v>
      </c>
      <c r="AI48" s="259">
        <v>-0.84399999999999997</v>
      </c>
      <c r="AJ48" s="259">
        <v>-0.84599999999999997</v>
      </c>
      <c r="AK48" s="259">
        <v>-0.85199999999999998</v>
      </c>
      <c r="AL48" s="259">
        <v>-0.85699999999999998</v>
      </c>
      <c r="AM48" s="259">
        <v>0.15</v>
      </c>
      <c r="AN48" s="259">
        <v>0.16400000000000001</v>
      </c>
      <c r="AO48" s="259">
        <v>0.17100000000000001</v>
      </c>
      <c r="AP48" s="259">
        <v>0.17599999999999999</v>
      </c>
      <c r="AQ48" s="259">
        <v>0.17699999999999999</v>
      </c>
      <c r="AR48" s="259">
        <v>0.18</v>
      </c>
      <c r="AS48" s="259">
        <v>0.183</v>
      </c>
    </row>
    <row r="49" spans="1:45" s="259" customFormat="1">
      <c r="A49" s="259" t="s">
        <v>365</v>
      </c>
      <c r="B49" s="259" t="s">
        <v>152</v>
      </c>
      <c r="C49" s="262">
        <v>45.200100000100008</v>
      </c>
      <c r="D49" s="262">
        <v>-71.666566666566666</v>
      </c>
      <c r="E49" s="263">
        <f>IF(OR(C49="",D49=""),"",ACOS((SIN(RADIANS(C49)) * SIN(RADIANS('Hydrologie-Méthode rationnelle'!$C$22))) + (COS(RADIANS(C49)) * COS(RADIANS('Hydrologie-Méthode rationnelle'!$C$22))) * (COS(RADIANS(D49) - RADIANS('Hydrologie-Méthode rationnelle'!$C$23)))) * 6371)</f>
        <v>8583.6519919425009</v>
      </c>
      <c r="F49" s="259">
        <v>381</v>
      </c>
      <c r="G49" s="259" t="s">
        <v>82</v>
      </c>
      <c r="H49" s="259" t="s">
        <v>86</v>
      </c>
      <c r="I49" s="259" t="s">
        <v>301</v>
      </c>
      <c r="J49" s="259">
        <v>41.247999999999998</v>
      </c>
      <c r="K49" s="259">
        <v>19.488</v>
      </c>
      <c r="L49" s="259">
        <v>25.241</v>
      </c>
      <c r="M49" s="259">
        <v>29.036999999999999</v>
      </c>
      <c r="N49" s="259">
        <v>32.671999999999997</v>
      </c>
      <c r="O49" s="259">
        <v>33.823999999999998</v>
      </c>
      <c r="P49" s="259">
        <v>37.372</v>
      </c>
      <c r="Q49" s="259">
        <v>40.890999999999998</v>
      </c>
      <c r="R49" s="259">
        <v>-0.68400000000000005</v>
      </c>
      <c r="S49" s="259">
        <v>-0.67800000000000005</v>
      </c>
      <c r="T49" s="259">
        <v>-0.67600000000000005</v>
      </c>
      <c r="U49" s="259">
        <v>-0.67400000000000004</v>
      </c>
      <c r="V49" s="259">
        <v>-0.67300000000000004</v>
      </c>
      <c r="W49" s="259">
        <v>-0.67200000000000004</v>
      </c>
      <c r="X49" s="259">
        <v>-0.67100000000000004</v>
      </c>
      <c r="Y49" s="259">
        <v>24.661000000000001</v>
      </c>
      <c r="Z49" s="259">
        <v>34.866999999999997</v>
      </c>
      <c r="AA49" s="259">
        <v>41.911999999999999</v>
      </c>
      <c r="AB49" s="259">
        <v>48.823</v>
      </c>
      <c r="AC49" s="259">
        <v>51.040999999999997</v>
      </c>
      <c r="AD49" s="259">
        <v>57.939</v>
      </c>
      <c r="AE49" s="259">
        <v>64.87</v>
      </c>
      <c r="AF49" s="259">
        <v>-0.79800000000000004</v>
      </c>
      <c r="AG49" s="259">
        <v>-0.83099999999999996</v>
      </c>
      <c r="AH49" s="259">
        <v>-0.84799999999999998</v>
      </c>
      <c r="AI49" s="259">
        <v>-0.86099999999999999</v>
      </c>
      <c r="AJ49" s="259">
        <v>-0.86499999999999999</v>
      </c>
      <c r="AK49" s="259">
        <v>-0.875</v>
      </c>
      <c r="AL49" s="259">
        <v>-0.88400000000000001</v>
      </c>
      <c r="AM49" s="259">
        <v>0.13100000000000001</v>
      </c>
      <c r="AN49" s="259">
        <v>0.191</v>
      </c>
      <c r="AO49" s="259">
        <v>0.223</v>
      </c>
      <c r="AP49" s="259">
        <v>0.249</v>
      </c>
      <c r="AQ49" s="259">
        <v>0.25700000000000001</v>
      </c>
      <c r="AR49" s="259">
        <v>0.27800000000000002</v>
      </c>
      <c r="AS49" s="259">
        <v>0.29599999999999999</v>
      </c>
    </row>
    <row r="50" spans="1:45" s="259" customFormat="1">
      <c r="A50" s="259" t="s">
        <v>366</v>
      </c>
      <c r="B50" s="259" t="s">
        <v>153</v>
      </c>
      <c r="C50" s="262">
        <v>46.066766666766675</v>
      </c>
      <c r="D50" s="262">
        <v>-70.966566666566663</v>
      </c>
      <c r="E50" s="263">
        <f>IF(OR(C50="",D50=""),"",ACOS((SIN(RADIANS(C50)) * SIN(RADIANS('Hydrologie-Méthode rationnelle'!$C$22))) + (COS(RADIANS(C50)) * COS(RADIANS('Hydrologie-Méthode rationnelle'!$C$22))) * (COS(RADIANS(D50) - RADIANS('Hydrologie-Méthode rationnelle'!$C$23)))) * 6371)</f>
        <v>8553.3947747291204</v>
      </c>
      <c r="F50" s="259">
        <v>312</v>
      </c>
      <c r="G50" s="259" t="s">
        <v>76</v>
      </c>
      <c r="H50" s="259" t="s">
        <v>55</v>
      </c>
      <c r="I50" s="259" t="s">
        <v>299</v>
      </c>
      <c r="J50" s="259">
        <v>39.787999999999997</v>
      </c>
      <c r="K50" s="259">
        <v>20.62</v>
      </c>
      <c r="L50" s="259">
        <v>27.513999999999999</v>
      </c>
      <c r="M50" s="259">
        <v>32.063000000000002</v>
      </c>
      <c r="N50" s="259">
        <v>36.42</v>
      </c>
      <c r="O50" s="259">
        <v>37.801000000000002</v>
      </c>
      <c r="P50" s="259">
        <v>42.052999999999997</v>
      </c>
      <c r="Q50" s="259">
        <v>46.271999999999998</v>
      </c>
      <c r="R50" s="259">
        <v>-0.67</v>
      </c>
      <c r="S50" s="259">
        <v>-0.69</v>
      </c>
      <c r="T50" s="259">
        <v>-0.69799999999999995</v>
      </c>
      <c r="U50" s="259">
        <v>-0.70399999999999996</v>
      </c>
      <c r="V50" s="259">
        <v>-0.70599999999999996</v>
      </c>
      <c r="W50" s="259">
        <v>-0.71</v>
      </c>
      <c r="X50" s="259">
        <v>-0.71399999999999997</v>
      </c>
      <c r="Y50" s="259">
        <v>22.614000000000001</v>
      </c>
      <c r="Z50" s="259">
        <v>29.484000000000002</v>
      </c>
      <c r="AA50" s="259">
        <v>34.066000000000003</v>
      </c>
      <c r="AB50" s="259">
        <v>38.472999999999999</v>
      </c>
      <c r="AC50" s="259">
        <v>39.872999999999998</v>
      </c>
      <c r="AD50" s="259">
        <v>44.188000000000002</v>
      </c>
      <c r="AE50" s="259">
        <v>48.475000000000001</v>
      </c>
      <c r="AF50" s="259">
        <v>-0.71599999999999997</v>
      </c>
      <c r="AG50" s="259">
        <v>-0.72399999999999998</v>
      </c>
      <c r="AH50" s="259">
        <v>-0.72899999999999998</v>
      </c>
      <c r="AI50" s="259">
        <v>-0.73199999999999998</v>
      </c>
      <c r="AJ50" s="259">
        <v>-0.73299999999999998</v>
      </c>
      <c r="AK50" s="259">
        <v>-0.73499999999999999</v>
      </c>
      <c r="AL50" s="259">
        <v>-0.73699999999999999</v>
      </c>
      <c r="AM50" s="259">
        <v>4.7E-2</v>
      </c>
      <c r="AN50" s="259">
        <v>3.4000000000000002E-2</v>
      </c>
      <c r="AO50" s="259">
        <v>2.9000000000000001E-2</v>
      </c>
      <c r="AP50" s="259">
        <v>2.5999999999999999E-2</v>
      </c>
      <c r="AQ50" s="259">
        <v>2.5000000000000001E-2</v>
      </c>
      <c r="AR50" s="259">
        <v>2.3E-2</v>
      </c>
      <c r="AS50" s="259">
        <v>2.1000000000000001E-2</v>
      </c>
    </row>
    <row r="51" spans="1:45" s="259" customFormat="1">
      <c r="A51" s="259" t="s">
        <v>367</v>
      </c>
      <c r="B51" s="259" t="s">
        <v>154</v>
      </c>
      <c r="C51" s="262">
        <v>46.100100000100007</v>
      </c>
      <c r="D51" s="262">
        <v>-71.566566666566658</v>
      </c>
      <c r="E51" s="263">
        <f>IF(OR(C51="",D51=""),"",ACOS((SIN(RADIANS(C51)) * SIN(RADIANS('Hydrologie-Méthode rationnelle'!$C$22))) + (COS(RADIANS(C51)) * COS(RADIANS('Hydrologie-Méthode rationnelle'!$C$22))) * (COS(RADIANS(D51) - RADIANS('Hydrologie-Méthode rationnelle'!$C$23)))) * 6371)</f>
        <v>8599.2278472515154</v>
      </c>
      <c r="F51" s="259">
        <v>297</v>
      </c>
      <c r="G51" s="259" t="s">
        <v>155</v>
      </c>
      <c r="H51" s="259" t="s">
        <v>55</v>
      </c>
      <c r="I51" s="259" t="s">
        <v>309</v>
      </c>
      <c r="J51" s="259">
        <v>43.244</v>
      </c>
      <c r="K51" s="259">
        <v>20.56</v>
      </c>
      <c r="L51" s="259">
        <v>27.76</v>
      </c>
      <c r="M51" s="259">
        <v>32.523000000000003</v>
      </c>
      <c r="N51" s="259">
        <v>37.090000000000003</v>
      </c>
      <c r="O51" s="259">
        <v>38.537999999999997</v>
      </c>
      <c r="P51" s="259">
        <v>42.999000000000002</v>
      </c>
      <c r="Q51" s="259">
        <v>47.427</v>
      </c>
      <c r="R51" s="259">
        <v>-0.66800000000000004</v>
      </c>
      <c r="S51" s="259">
        <v>-0.67700000000000005</v>
      </c>
      <c r="T51" s="259">
        <v>-0.68100000000000005</v>
      </c>
      <c r="U51" s="259">
        <v>-0.68300000000000005</v>
      </c>
      <c r="V51" s="259">
        <v>-0.68400000000000005</v>
      </c>
      <c r="W51" s="259">
        <v>-0.68600000000000005</v>
      </c>
      <c r="X51" s="259">
        <v>-0.68700000000000006</v>
      </c>
      <c r="Y51" s="259">
        <v>23.695</v>
      </c>
      <c r="Z51" s="259">
        <v>32.673000000000002</v>
      </c>
      <c r="AA51" s="259">
        <v>38.616</v>
      </c>
      <c r="AB51" s="259">
        <v>44.317</v>
      </c>
      <c r="AC51" s="259">
        <v>46.125</v>
      </c>
      <c r="AD51" s="259">
        <v>51.695999999999998</v>
      </c>
      <c r="AE51" s="259">
        <v>57.223999999999997</v>
      </c>
      <c r="AF51" s="259">
        <v>-0.73799999999999999</v>
      </c>
      <c r="AG51" s="259">
        <v>-0.75700000000000001</v>
      </c>
      <c r="AH51" s="259">
        <v>-0.76500000000000001</v>
      </c>
      <c r="AI51" s="259">
        <v>-0.77</v>
      </c>
      <c r="AJ51" s="259">
        <v>-0.77200000000000002</v>
      </c>
      <c r="AK51" s="259">
        <v>-0.77600000000000002</v>
      </c>
      <c r="AL51" s="259">
        <v>-0.77900000000000003</v>
      </c>
      <c r="AM51" s="259">
        <v>7.5999999999999998E-2</v>
      </c>
      <c r="AN51" s="259">
        <v>8.6999999999999994E-2</v>
      </c>
      <c r="AO51" s="259">
        <v>9.1999999999999998E-2</v>
      </c>
      <c r="AP51" s="259">
        <v>9.5000000000000001E-2</v>
      </c>
      <c r="AQ51" s="259">
        <v>9.6000000000000002E-2</v>
      </c>
      <c r="AR51" s="259">
        <v>9.9000000000000005E-2</v>
      </c>
      <c r="AS51" s="259">
        <v>0.1</v>
      </c>
    </row>
    <row r="52" spans="1:45" s="259" customFormat="1">
      <c r="A52" s="259" t="s">
        <v>368</v>
      </c>
      <c r="B52" s="259" t="s">
        <v>156</v>
      </c>
      <c r="C52" s="262">
        <v>46.466766666766674</v>
      </c>
      <c r="D52" s="262">
        <v>-71.566566666566658</v>
      </c>
      <c r="E52" s="263">
        <f>IF(OR(C52="",D52=""),"",ACOS((SIN(RADIANS(C52)) * SIN(RADIANS('Hydrologie-Méthode rationnelle'!$C$22))) + (COS(RADIANS(C52)) * COS(RADIANS('Hydrologie-Méthode rationnelle'!$C$22))) * (COS(RADIANS(D52) - RADIANS('Hydrologie-Méthode rationnelle'!$C$23)))) * 6371)</f>
        <v>8608.7765613471493</v>
      </c>
      <c r="F52" s="259">
        <v>137</v>
      </c>
      <c r="G52" s="259" t="s">
        <v>157</v>
      </c>
      <c r="H52" s="259" t="s">
        <v>55</v>
      </c>
      <c r="I52" s="259" t="s">
        <v>305</v>
      </c>
      <c r="J52" s="259">
        <v>35.009</v>
      </c>
      <c r="K52" s="259">
        <v>19.943999999999999</v>
      </c>
      <c r="L52" s="259">
        <v>24.821999999999999</v>
      </c>
      <c r="M52" s="259">
        <v>28.035</v>
      </c>
      <c r="N52" s="259">
        <v>31.109000000000002</v>
      </c>
      <c r="O52" s="259">
        <v>32.082000000000001</v>
      </c>
      <c r="P52" s="259">
        <v>35.079000000000001</v>
      </c>
      <c r="Q52" s="259">
        <v>38.049999999999997</v>
      </c>
      <c r="R52" s="259">
        <v>-0.68899999999999995</v>
      </c>
      <c r="S52" s="259">
        <v>-0.70599999999999996</v>
      </c>
      <c r="T52" s="259">
        <v>-0.71499999999999997</v>
      </c>
      <c r="U52" s="259">
        <v>-0.72099999999999997</v>
      </c>
      <c r="V52" s="259">
        <v>-0.72299999999999998</v>
      </c>
      <c r="W52" s="259">
        <v>-0.72799999999999998</v>
      </c>
      <c r="X52" s="259">
        <v>-0.73199999999999998</v>
      </c>
      <c r="Y52" s="259">
        <v>22.727</v>
      </c>
      <c r="Z52" s="259">
        <v>28.280999999999999</v>
      </c>
      <c r="AA52" s="259">
        <v>31.946000000000002</v>
      </c>
      <c r="AB52" s="259">
        <v>35.456000000000003</v>
      </c>
      <c r="AC52" s="259">
        <v>36.567999999999998</v>
      </c>
      <c r="AD52" s="259">
        <v>39.993000000000002</v>
      </c>
      <c r="AE52" s="259">
        <v>43.389000000000003</v>
      </c>
      <c r="AF52" s="259">
        <v>-0.753</v>
      </c>
      <c r="AG52" s="259">
        <v>-0.77100000000000002</v>
      </c>
      <c r="AH52" s="259">
        <v>-0.78</v>
      </c>
      <c r="AI52" s="259">
        <v>-0.78600000000000003</v>
      </c>
      <c r="AJ52" s="259">
        <v>-0.78800000000000003</v>
      </c>
      <c r="AK52" s="259">
        <v>-0.79300000000000004</v>
      </c>
      <c r="AL52" s="259">
        <v>-0.79800000000000004</v>
      </c>
      <c r="AM52" s="259">
        <v>6.7000000000000004E-2</v>
      </c>
      <c r="AN52" s="259">
        <v>6.5000000000000002E-2</v>
      </c>
      <c r="AO52" s="259">
        <v>6.4000000000000001E-2</v>
      </c>
      <c r="AP52" s="259">
        <v>6.4000000000000001E-2</v>
      </c>
      <c r="AQ52" s="259">
        <v>6.3E-2</v>
      </c>
      <c r="AR52" s="259">
        <v>6.3E-2</v>
      </c>
      <c r="AS52" s="259">
        <v>6.3E-2</v>
      </c>
    </row>
    <row r="53" spans="1:45" s="259" customFormat="1">
      <c r="A53" s="259" t="s">
        <v>369</v>
      </c>
      <c r="B53" s="259" t="s">
        <v>158</v>
      </c>
      <c r="C53" s="262">
        <v>46.150100000100004</v>
      </c>
      <c r="D53" s="262">
        <v>-70.699899999899998</v>
      </c>
      <c r="E53" s="263">
        <f>IF(OR(C53="",D53=""),"",ACOS((SIN(RADIANS(C53)) * SIN(RADIANS('Hydrologie-Méthode rationnelle'!$C$22))) + (COS(RADIANS(C53)) * COS(RADIANS('Hydrologie-Méthode rationnelle'!$C$22))) * (COS(RADIANS(D53) - RADIANS('Hydrologie-Méthode rationnelle'!$C$23)))) * 6371)</f>
        <v>8535.7048312634342</v>
      </c>
      <c r="F53" s="259">
        <v>167</v>
      </c>
      <c r="G53" s="259" t="s">
        <v>76</v>
      </c>
      <c r="H53" s="259" t="s">
        <v>51</v>
      </c>
      <c r="I53" s="259" t="s">
        <v>300</v>
      </c>
      <c r="J53" s="259">
        <v>43.265000000000001</v>
      </c>
      <c r="K53" s="259">
        <v>20.648</v>
      </c>
      <c r="L53" s="259">
        <v>28.324999999999999</v>
      </c>
      <c r="M53" s="259">
        <v>33.396000000000001</v>
      </c>
      <c r="N53" s="259">
        <v>38.256</v>
      </c>
      <c r="O53" s="259">
        <v>39.796999999999997</v>
      </c>
      <c r="P53" s="259">
        <v>44.542000000000002</v>
      </c>
      <c r="Q53" s="259">
        <v>49.250999999999998</v>
      </c>
      <c r="R53" s="259">
        <v>-0.64800000000000002</v>
      </c>
      <c r="S53" s="259">
        <v>-0.65300000000000002</v>
      </c>
      <c r="T53" s="259">
        <v>-0.65500000000000003</v>
      </c>
      <c r="U53" s="259">
        <v>-0.65600000000000003</v>
      </c>
      <c r="V53" s="259">
        <v>-0.65700000000000003</v>
      </c>
      <c r="W53" s="259">
        <v>-0.65800000000000003</v>
      </c>
      <c r="X53" s="259">
        <v>-0.65800000000000003</v>
      </c>
      <c r="Y53" s="259">
        <v>23.812999999999999</v>
      </c>
      <c r="Z53" s="259">
        <v>33.651000000000003</v>
      </c>
      <c r="AA53" s="259">
        <v>40.228999999999999</v>
      </c>
      <c r="AB53" s="259">
        <v>46.570999999999998</v>
      </c>
      <c r="AC53" s="259">
        <v>48.588999999999999</v>
      </c>
      <c r="AD53" s="259">
        <v>54.814999999999998</v>
      </c>
      <c r="AE53" s="259">
        <v>61.012</v>
      </c>
      <c r="AF53" s="259">
        <v>-0.71799999999999997</v>
      </c>
      <c r="AG53" s="259">
        <v>-0.73699999999999999</v>
      </c>
      <c r="AH53" s="259">
        <v>-0.745</v>
      </c>
      <c r="AI53" s="259">
        <v>-0.752</v>
      </c>
      <c r="AJ53" s="259">
        <v>-0.753</v>
      </c>
      <c r="AK53" s="259">
        <v>-0.75800000000000001</v>
      </c>
      <c r="AL53" s="259">
        <v>-0.76200000000000001</v>
      </c>
      <c r="AM53" s="259">
        <v>7.9000000000000001E-2</v>
      </c>
      <c r="AN53" s="259">
        <v>9.7000000000000003E-2</v>
      </c>
      <c r="AO53" s="259">
        <v>0.105</v>
      </c>
      <c r="AP53" s="259">
        <v>0.112</v>
      </c>
      <c r="AQ53" s="259">
        <v>0.114</v>
      </c>
      <c r="AR53" s="259">
        <v>0.11799999999999999</v>
      </c>
      <c r="AS53" s="259">
        <v>0.123</v>
      </c>
    </row>
    <row r="54" spans="1:45" s="259" customFormat="1">
      <c r="A54" s="259" t="s">
        <v>370</v>
      </c>
      <c r="B54" s="259" t="s">
        <v>159</v>
      </c>
      <c r="C54" s="262">
        <v>45.866766666766672</v>
      </c>
      <c r="D54" s="262">
        <v>-72.766566666566661</v>
      </c>
      <c r="E54" s="263">
        <f>IF(OR(C54="",D54=""),"",ACOS((SIN(RADIANS(C54)) * SIN(RADIANS('Hydrologie-Méthode rationnelle'!$C$22))) + (COS(RADIANS(C54)) * COS(RADIANS('Hydrologie-Méthode rationnelle'!$C$22))) * (COS(RADIANS(D54) - RADIANS('Hydrologie-Méthode rationnelle'!$C$23)))) * 6371)</f>
        <v>8683.7111796261288</v>
      </c>
      <c r="F54" s="259">
        <v>43</v>
      </c>
      <c r="G54" s="259" t="s">
        <v>54</v>
      </c>
      <c r="H54" s="259" t="s">
        <v>55</v>
      </c>
      <c r="I54" s="259" t="s">
        <v>298</v>
      </c>
      <c r="J54" s="259">
        <v>42.91</v>
      </c>
      <c r="K54" s="259">
        <v>19.766999999999999</v>
      </c>
      <c r="L54" s="259">
        <v>26.146999999999998</v>
      </c>
      <c r="M54" s="259">
        <v>30.361999999999998</v>
      </c>
      <c r="N54" s="259">
        <v>34.402000000000001</v>
      </c>
      <c r="O54" s="259">
        <v>35.683</v>
      </c>
      <c r="P54" s="259">
        <v>39.627000000000002</v>
      </c>
      <c r="Q54" s="259">
        <v>43.54</v>
      </c>
      <c r="R54" s="259">
        <v>-0.66</v>
      </c>
      <c r="S54" s="259">
        <v>-0.66500000000000004</v>
      </c>
      <c r="T54" s="259">
        <v>-0.66700000000000004</v>
      </c>
      <c r="U54" s="259">
        <v>-0.66900000000000004</v>
      </c>
      <c r="V54" s="259">
        <v>-0.67</v>
      </c>
      <c r="W54" s="259">
        <v>-0.67100000000000004</v>
      </c>
      <c r="X54" s="259">
        <v>-0.67200000000000004</v>
      </c>
      <c r="Y54" s="259">
        <v>24.626999999999999</v>
      </c>
      <c r="Z54" s="259">
        <v>34.177999999999997</v>
      </c>
      <c r="AA54" s="259">
        <v>40.518999999999998</v>
      </c>
      <c r="AB54" s="259">
        <v>46.607999999999997</v>
      </c>
      <c r="AC54" s="259">
        <v>48.540999999999997</v>
      </c>
      <c r="AD54" s="259">
        <v>54.497</v>
      </c>
      <c r="AE54" s="259">
        <v>60.411000000000001</v>
      </c>
      <c r="AF54" s="259">
        <v>-0.76600000000000001</v>
      </c>
      <c r="AG54" s="259">
        <v>-0.79300000000000004</v>
      </c>
      <c r="AH54" s="259">
        <v>-0.80500000000000005</v>
      </c>
      <c r="AI54" s="259">
        <v>-0.81399999999999995</v>
      </c>
      <c r="AJ54" s="259">
        <v>-0.81599999999999995</v>
      </c>
      <c r="AK54" s="259">
        <v>-0.82199999999999995</v>
      </c>
      <c r="AL54" s="259">
        <v>-0.82699999999999996</v>
      </c>
      <c r="AM54" s="259">
        <v>0.126</v>
      </c>
      <c r="AN54" s="259">
        <v>0.157</v>
      </c>
      <c r="AO54" s="259">
        <v>0.17</v>
      </c>
      <c r="AP54" s="259">
        <v>0.18</v>
      </c>
      <c r="AQ54" s="259">
        <v>0.183</v>
      </c>
      <c r="AR54" s="259">
        <v>0.19</v>
      </c>
      <c r="AS54" s="259">
        <v>0.19600000000000001</v>
      </c>
    </row>
    <row r="55" spans="1:45" s="259" customFormat="1">
      <c r="A55" s="259" t="s">
        <v>371</v>
      </c>
      <c r="B55" s="259" t="s">
        <v>160</v>
      </c>
      <c r="C55" s="262">
        <v>45.516766666766678</v>
      </c>
      <c r="D55" s="262">
        <v>-73.416566666566666</v>
      </c>
      <c r="E55" s="263">
        <f>IF(OR(C55="",D55=""),"",ACOS((SIN(RADIANS(C55)) * SIN(RADIANS('Hydrologie-Méthode rationnelle'!$C$22))) + (COS(RADIANS(C55)) * COS(RADIANS('Hydrologie-Méthode rationnelle'!$C$22))) * (COS(RADIANS(D55) - RADIANS('Hydrologie-Méthode rationnelle'!$C$23)))) * 6371)</f>
        <v>8724.7712918897978</v>
      </c>
      <c r="F55" s="259">
        <v>27</v>
      </c>
      <c r="G55" s="259" t="s">
        <v>133</v>
      </c>
      <c r="H55" s="259" t="s">
        <v>151</v>
      </c>
      <c r="I55" s="259" t="s">
        <v>312</v>
      </c>
      <c r="J55" s="259">
        <v>40.468000000000004</v>
      </c>
      <c r="K55" s="259">
        <v>19.494</v>
      </c>
      <c r="L55" s="259">
        <v>25.581</v>
      </c>
      <c r="M55" s="259">
        <v>29.600999999999999</v>
      </c>
      <c r="N55" s="259">
        <v>33.451999999999998</v>
      </c>
      <c r="O55" s="259">
        <v>34.673000000000002</v>
      </c>
      <c r="P55" s="259">
        <v>38.432000000000002</v>
      </c>
      <c r="Q55" s="259">
        <v>42.161000000000001</v>
      </c>
      <c r="R55" s="259">
        <v>-0.67900000000000005</v>
      </c>
      <c r="S55" s="259">
        <v>-0.69299999999999995</v>
      </c>
      <c r="T55" s="259">
        <v>-0.69899999999999995</v>
      </c>
      <c r="U55" s="259">
        <v>-0.70299999999999996</v>
      </c>
      <c r="V55" s="259">
        <v>-0.70499999999999996</v>
      </c>
      <c r="W55" s="259">
        <v>-0.70799999999999996</v>
      </c>
      <c r="X55" s="259">
        <v>-0.71099999999999997</v>
      </c>
      <c r="Y55" s="259">
        <v>22.754999999999999</v>
      </c>
      <c r="Z55" s="259">
        <v>31.276</v>
      </c>
      <c r="AA55" s="259">
        <v>37.023000000000003</v>
      </c>
      <c r="AB55" s="259">
        <v>42.591000000000001</v>
      </c>
      <c r="AC55" s="259">
        <v>44.366</v>
      </c>
      <c r="AD55" s="259">
        <v>49.856000000000002</v>
      </c>
      <c r="AE55" s="259">
        <v>55.332999999999998</v>
      </c>
      <c r="AF55" s="259">
        <v>-0.75600000000000001</v>
      </c>
      <c r="AG55" s="259">
        <v>-0.79100000000000004</v>
      </c>
      <c r="AH55" s="259">
        <v>-0.80700000000000005</v>
      </c>
      <c r="AI55" s="259">
        <v>-0.82</v>
      </c>
      <c r="AJ55" s="259">
        <v>-0.82399999999999995</v>
      </c>
      <c r="AK55" s="259">
        <v>-0.83299999999999996</v>
      </c>
      <c r="AL55" s="259">
        <v>-0.84099999999999997</v>
      </c>
      <c r="AM55" s="259">
        <v>8.2000000000000003E-2</v>
      </c>
      <c r="AN55" s="259">
        <v>0.108</v>
      </c>
      <c r="AO55" s="259">
        <v>0.12</v>
      </c>
      <c r="AP55" s="259">
        <v>0.13</v>
      </c>
      <c r="AQ55" s="259">
        <v>0.13300000000000001</v>
      </c>
      <c r="AR55" s="259">
        <v>0.14099999999999999</v>
      </c>
      <c r="AS55" s="259">
        <v>0.14799999999999999</v>
      </c>
    </row>
    <row r="56" spans="1:45" s="259" customFormat="1">
      <c r="A56" s="259" t="s">
        <v>372</v>
      </c>
      <c r="B56" s="259" t="s">
        <v>161</v>
      </c>
      <c r="C56" s="262">
        <v>45.266766666766678</v>
      </c>
      <c r="D56" s="262">
        <v>-71.516566666566661</v>
      </c>
      <c r="E56" s="263">
        <f>IF(OR(C56="",D56=""),"",ACOS((SIN(RADIANS(C56)) * SIN(RADIANS('Hydrologie-Méthode rationnelle'!$C$22))) + (COS(RADIANS(C56)) * COS(RADIANS('Hydrologie-Méthode rationnelle'!$C$22))) * (COS(RADIANS(D56) - RADIANS('Hydrologie-Méthode rationnelle'!$C$23)))) * 6371)</f>
        <v>8573.9256498582217</v>
      </c>
      <c r="F56" s="259">
        <v>393</v>
      </c>
      <c r="G56" s="259" t="s">
        <v>133</v>
      </c>
      <c r="H56" s="259" t="s">
        <v>92</v>
      </c>
      <c r="I56" s="259" t="s">
        <v>301</v>
      </c>
      <c r="J56" s="259">
        <v>38.979999999999997</v>
      </c>
      <c r="K56" s="259">
        <v>19.547999999999998</v>
      </c>
      <c r="L56" s="259">
        <v>25.248000000000001</v>
      </c>
      <c r="M56" s="259">
        <v>29.015000000000001</v>
      </c>
      <c r="N56" s="259">
        <v>32.625</v>
      </c>
      <c r="O56" s="259">
        <v>33.768999999999998</v>
      </c>
      <c r="P56" s="259">
        <v>37.293999999999997</v>
      </c>
      <c r="Q56" s="259">
        <v>40.790999999999997</v>
      </c>
      <c r="R56" s="259">
        <v>-0.69299999999999995</v>
      </c>
      <c r="S56" s="259">
        <v>-0.69699999999999995</v>
      </c>
      <c r="T56" s="259">
        <v>-0.69799999999999995</v>
      </c>
      <c r="U56" s="259">
        <v>-0.69899999999999995</v>
      </c>
      <c r="V56" s="259">
        <v>-0.7</v>
      </c>
      <c r="W56" s="259">
        <v>-0.70099999999999996</v>
      </c>
      <c r="X56" s="259">
        <v>-0.70199999999999996</v>
      </c>
      <c r="Y56" s="259">
        <v>21.940999999999999</v>
      </c>
      <c r="Z56" s="259">
        <v>29.594999999999999</v>
      </c>
      <c r="AA56" s="259">
        <v>34.774000000000001</v>
      </c>
      <c r="AB56" s="259">
        <v>39.804000000000002</v>
      </c>
      <c r="AC56" s="259">
        <v>41.41</v>
      </c>
      <c r="AD56" s="259">
        <v>46.384</v>
      </c>
      <c r="AE56" s="259">
        <v>51.356000000000002</v>
      </c>
      <c r="AF56" s="259">
        <v>-0.751</v>
      </c>
      <c r="AG56" s="259">
        <v>-0.77500000000000002</v>
      </c>
      <c r="AH56" s="259">
        <v>-0.78700000000000003</v>
      </c>
      <c r="AI56" s="259">
        <v>-0.79600000000000004</v>
      </c>
      <c r="AJ56" s="259">
        <v>-0.79900000000000004</v>
      </c>
      <c r="AK56" s="259">
        <v>-0.80600000000000005</v>
      </c>
      <c r="AL56" s="259">
        <v>-0.81299999999999994</v>
      </c>
      <c r="AM56" s="259">
        <v>5.8000000000000003E-2</v>
      </c>
      <c r="AN56" s="259">
        <v>8.2000000000000003E-2</v>
      </c>
      <c r="AO56" s="259">
        <v>9.5000000000000001E-2</v>
      </c>
      <c r="AP56" s="259">
        <v>0.105</v>
      </c>
      <c r="AQ56" s="259">
        <v>0.108</v>
      </c>
      <c r="AR56" s="259">
        <v>0.11700000000000001</v>
      </c>
      <c r="AS56" s="259">
        <v>0.124</v>
      </c>
    </row>
    <row r="57" spans="1:45" s="259" customFormat="1">
      <c r="A57" s="259" t="s">
        <v>373</v>
      </c>
      <c r="B57" s="259" t="s">
        <v>162</v>
      </c>
      <c r="C57" s="262">
        <v>45.616766666766672</v>
      </c>
      <c r="D57" s="262">
        <v>-73.116566666566655</v>
      </c>
      <c r="E57" s="263">
        <f>IF(OR(C57="",D57=""),"",ACOS((SIN(RADIANS(C57)) * SIN(RADIANS('Hydrologie-Méthode rationnelle'!$C$22))) + (COS(RADIANS(C57)) * COS(RADIANS('Hydrologie-Méthode rationnelle'!$C$22))) * (COS(RADIANS(D57) - RADIANS('Hydrologie-Méthode rationnelle'!$C$23)))) * 6371)</f>
        <v>8704.2720558082256</v>
      </c>
      <c r="F57" s="259">
        <v>30</v>
      </c>
      <c r="G57" s="259" t="s">
        <v>92</v>
      </c>
      <c r="H57" s="259" t="s">
        <v>55</v>
      </c>
      <c r="I57" s="259" t="s">
        <v>315</v>
      </c>
      <c r="J57" s="259">
        <v>39.848999999999997</v>
      </c>
      <c r="K57" s="259">
        <v>19.103999999999999</v>
      </c>
      <c r="L57" s="259">
        <v>25.542000000000002</v>
      </c>
      <c r="M57" s="259">
        <v>29.766999999999999</v>
      </c>
      <c r="N57" s="259">
        <v>33.804000000000002</v>
      </c>
      <c r="O57" s="259">
        <v>35.082000000000001</v>
      </c>
      <c r="P57" s="259">
        <v>39.014000000000003</v>
      </c>
      <c r="Q57" s="259">
        <v>42.911000000000001</v>
      </c>
      <c r="R57" s="259">
        <v>-0.64800000000000002</v>
      </c>
      <c r="S57" s="259">
        <v>-0.68</v>
      </c>
      <c r="T57" s="259">
        <v>-0.69299999999999995</v>
      </c>
      <c r="U57" s="259">
        <v>-0.70299999999999996</v>
      </c>
      <c r="V57" s="259">
        <v>-0.70599999999999996</v>
      </c>
      <c r="W57" s="259">
        <v>-0.71299999999999997</v>
      </c>
      <c r="X57" s="259">
        <v>-0.71899999999999997</v>
      </c>
      <c r="Y57" s="259">
        <v>25.271999999999998</v>
      </c>
      <c r="Z57" s="259">
        <v>32.093000000000004</v>
      </c>
      <c r="AA57" s="259">
        <v>36.761000000000003</v>
      </c>
      <c r="AB57" s="259">
        <v>41.284999999999997</v>
      </c>
      <c r="AC57" s="259">
        <v>42.725999999999999</v>
      </c>
      <c r="AD57" s="259">
        <v>47.177</v>
      </c>
      <c r="AE57" s="259">
        <v>51.609000000000002</v>
      </c>
      <c r="AF57" s="259">
        <v>-0.78100000000000003</v>
      </c>
      <c r="AG57" s="259">
        <v>-0.79</v>
      </c>
      <c r="AH57" s="259">
        <v>-0.79600000000000004</v>
      </c>
      <c r="AI57" s="259">
        <v>-0.80100000000000005</v>
      </c>
      <c r="AJ57" s="259">
        <v>-0.80200000000000005</v>
      </c>
      <c r="AK57" s="259">
        <v>-0.80600000000000005</v>
      </c>
      <c r="AL57" s="259">
        <v>-0.80900000000000005</v>
      </c>
      <c r="AM57" s="259">
        <v>0.17</v>
      </c>
      <c r="AN57" s="259">
        <v>0.127</v>
      </c>
      <c r="AO57" s="259">
        <v>0.114</v>
      </c>
      <c r="AP57" s="259">
        <v>0.105</v>
      </c>
      <c r="AQ57" s="259">
        <v>0.10299999999999999</v>
      </c>
      <c r="AR57" s="259">
        <v>9.8000000000000004E-2</v>
      </c>
      <c r="AS57" s="259">
        <v>9.4E-2</v>
      </c>
    </row>
    <row r="58" spans="1:45" s="259" customFormat="1">
      <c r="A58" s="259" t="s">
        <v>374</v>
      </c>
      <c r="B58" s="259" t="s">
        <v>163</v>
      </c>
      <c r="C58" s="262">
        <v>46.250100000100005</v>
      </c>
      <c r="D58" s="262">
        <v>-71.216566666566663</v>
      </c>
      <c r="E58" s="263">
        <f>IF(OR(C58="",D58=""),"",ACOS((SIN(RADIANS(C58)) * SIN(RADIANS('Hydrologie-Méthode rationnelle'!$C$22))) + (COS(RADIANS(C58)) * COS(RADIANS('Hydrologie-Méthode rationnelle'!$C$22))) * (COS(RADIANS(D58) - RADIANS('Hydrologie-Méthode rationnelle'!$C$23)))) * 6371)</f>
        <v>8576.9774377246285</v>
      </c>
      <c r="F58" s="259">
        <v>365</v>
      </c>
      <c r="G58" s="259" t="s">
        <v>50</v>
      </c>
      <c r="H58" s="259" t="s">
        <v>55</v>
      </c>
      <c r="I58" s="259" t="s">
        <v>316</v>
      </c>
      <c r="J58" s="259">
        <v>37.170999999999999</v>
      </c>
      <c r="K58" s="259">
        <v>19.809999999999999</v>
      </c>
      <c r="L58" s="259">
        <v>25.760999999999999</v>
      </c>
      <c r="M58" s="259">
        <v>29.687999999999999</v>
      </c>
      <c r="N58" s="259">
        <v>33.450000000000003</v>
      </c>
      <c r="O58" s="259">
        <v>34.642000000000003</v>
      </c>
      <c r="P58" s="259">
        <v>38.314</v>
      </c>
      <c r="Q58" s="259">
        <v>41.956000000000003</v>
      </c>
      <c r="R58" s="259">
        <v>-0.64400000000000002</v>
      </c>
      <c r="S58" s="259">
        <v>-0.66100000000000003</v>
      </c>
      <c r="T58" s="259">
        <v>-0.66900000000000004</v>
      </c>
      <c r="U58" s="259">
        <v>-0.67500000000000004</v>
      </c>
      <c r="V58" s="259">
        <v>-0.67700000000000005</v>
      </c>
      <c r="W58" s="259">
        <v>-0.68100000000000005</v>
      </c>
      <c r="X58" s="259">
        <v>-0.68400000000000005</v>
      </c>
      <c r="Y58" s="259">
        <v>24.606000000000002</v>
      </c>
      <c r="Z58" s="259">
        <v>31.556000000000001</v>
      </c>
      <c r="AA58" s="259">
        <v>36.177999999999997</v>
      </c>
      <c r="AB58" s="259">
        <v>40.618000000000002</v>
      </c>
      <c r="AC58" s="259">
        <v>42.027999999999999</v>
      </c>
      <c r="AD58" s="259">
        <v>46.372</v>
      </c>
      <c r="AE58" s="259">
        <v>50.686999999999998</v>
      </c>
      <c r="AF58" s="259">
        <v>-0.748</v>
      </c>
      <c r="AG58" s="259">
        <v>-0.76</v>
      </c>
      <c r="AH58" s="259">
        <v>-0.76600000000000001</v>
      </c>
      <c r="AI58" s="259">
        <v>-0.77</v>
      </c>
      <c r="AJ58" s="259">
        <v>-0.77100000000000002</v>
      </c>
      <c r="AK58" s="259">
        <v>-0.77400000000000002</v>
      </c>
      <c r="AL58" s="259">
        <v>-0.77700000000000002</v>
      </c>
      <c r="AM58" s="259">
        <v>0.128</v>
      </c>
      <c r="AN58" s="259">
        <v>0.115</v>
      </c>
      <c r="AO58" s="259">
        <v>0.11</v>
      </c>
      <c r="AP58" s="259">
        <v>0.107</v>
      </c>
      <c r="AQ58" s="259">
        <v>0.106</v>
      </c>
      <c r="AR58" s="259">
        <v>0.10299999999999999</v>
      </c>
      <c r="AS58" s="259">
        <v>0.10199999999999999</v>
      </c>
    </row>
    <row r="59" spans="1:45" s="259" customFormat="1">
      <c r="A59" s="259" t="s">
        <v>375</v>
      </c>
      <c r="B59" s="259" t="s">
        <v>164</v>
      </c>
      <c r="C59" s="262">
        <v>45.766766666766678</v>
      </c>
      <c r="D59" s="262">
        <v>-70.949899999899998</v>
      </c>
      <c r="E59" s="263">
        <f>IF(OR(C59="",D59=""),"",ACOS((SIN(RADIANS(C59)) * SIN(RADIANS('Hydrologie-Méthode rationnelle'!$C$22))) + (COS(RADIANS(C59)) * COS(RADIANS('Hydrologie-Méthode rationnelle'!$C$22))) * (COS(RADIANS(D59) - RADIANS('Hydrologie-Méthode rationnelle'!$C$23)))) * 6371)</f>
        <v>8544.115943165405</v>
      </c>
      <c r="F59" s="259">
        <v>442</v>
      </c>
      <c r="G59" s="259" t="s">
        <v>54</v>
      </c>
      <c r="H59" s="259" t="s">
        <v>55</v>
      </c>
      <c r="I59" s="259" t="s">
        <v>300</v>
      </c>
      <c r="J59" s="259">
        <v>36.795999999999999</v>
      </c>
      <c r="K59" s="259">
        <v>20.919</v>
      </c>
      <c r="L59" s="259">
        <v>26.31</v>
      </c>
      <c r="M59" s="259">
        <v>29.870999999999999</v>
      </c>
      <c r="N59" s="259">
        <v>33.283000000000001</v>
      </c>
      <c r="O59" s="259">
        <v>34.363999999999997</v>
      </c>
      <c r="P59" s="259">
        <v>37.695</v>
      </c>
      <c r="Q59" s="259">
        <v>40.999000000000002</v>
      </c>
      <c r="R59" s="259">
        <v>-0.68400000000000005</v>
      </c>
      <c r="S59" s="259">
        <v>-0.69599999999999995</v>
      </c>
      <c r="T59" s="259">
        <v>-0.70099999999999996</v>
      </c>
      <c r="U59" s="259">
        <v>-0.70599999999999996</v>
      </c>
      <c r="V59" s="259">
        <v>-0.70699999999999996</v>
      </c>
      <c r="W59" s="259">
        <v>-0.71</v>
      </c>
      <c r="X59" s="259">
        <v>-0.71299999999999997</v>
      </c>
      <c r="Y59" s="259">
        <v>22.702000000000002</v>
      </c>
      <c r="Z59" s="259">
        <v>29.053000000000001</v>
      </c>
      <c r="AA59" s="259">
        <v>33.256999999999998</v>
      </c>
      <c r="AB59" s="259">
        <v>37.29</v>
      </c>
      <c r="AC59" s="259">
        <v>38.569000000000003</v>
      </c>
      <c r="AD59" s="259">
        <v>42.509</v>
      </c>
      <c r="AE59" s="259">
        <v>46.418999999999997</v>
      </c>
      <c r="AF59" s="259">
        <v>-0.72499999999999998</v>
      </c>
      <c r="AG59" s="259">
        <v>-0.745</v>
      </c>
      <c r="AH59" s="259">
        <v>-0.755</v>
      </c>
      <c r="AI59" s="259">
        <v>-0.76200000000000001</v>
      </c>
      <c r="AJ59" s="259">
        <v>-0.76400000000000001</v>
      </c>
      <c r="AK59" s="259">
        <v>-0.77</v>
      </c>
      <c r="AL59" s="259">
        <v>-0.77400000000000002</v>
      </c>
      <c r="AM59" s="259">
        <v>4.1000000000000002E-2</v>
      </c>
      <c r="AN59" s="259">
        <v>4.9000000000000002E-2</v>
      </c>
      <c r="AO59" s="259">
        <v>5.2999999999999999E-2</v>
      </c>
      <c r="AP59" s="259">
        <v>5.6000000000000001E-2</v>
      </c>
      <c r="AQ59" s="259">
        <v>5.7000000000000002E-2</v>
      </c>
      <c r="AR59" s="259">
        <v>5.8999999999999997E-2</v>
      </c>
      <c r="AS59" s="259">
        <v>6.0999999999999999E-2</v>
      </c>
    </row>
    <row r="60" spans="1:45" s="259" customFormat="1">
      <c r="A60" s="259" t="s">
        <v>376</v>
      </c>
      <c r="B60" s="259" t="s">
        <v>165</v>
      </c>
      <c r="C60" s="262">
        <v>45.916766666766662</v>
      </c>
      <c r="D60" s="262">
        <v>-70.466566666566663</v>
      </c>
      <c r="E60" s="263">
        <f>IF(OR(C60="",D60=""),"",ACOS((SIN(RADIANS(C60)) * SIN(RADIANS('Hydrologie-Méthode rationnelle'!$C$22))) + (COS(RADIANS(C60)) * COS(RADIANS('Hydrologie-Méthode rationnelle'!$C$22))) * (COS(RADIANS(D60) - RADIANS('Hydrologie-Méthode rationnelle'!$C$23)))) * 6371)</f>
        <v>8511.8654031055594</v>
      </c>
      <c r="F60" s="259">
        <v>395</v>
      </c>
      <c r="G60" s="259" t="s">
        <v>76</v>
      </c>
      <c r="H60" s="259" t="s">
        <v>88</v>
      </c>
      <c r="I60" s="259" t="s">
        <v>316</v>
      </c>
      <c r="J60" s="259">
        <v>31.417000000000002</v>
      </c>
      <c r="K60" s="259">
        <v>17.175000000000001</v>
      </c>
      <c r="L60" s="259">
        <v>22.105</v>
      </c>
      <c r="M60" s="259">
        <v>25.355</v>
      </c>
      <c r="N60" s="259">
        <v>28.468</v>
      </c>
      <c r="O60" s="259">
        <v>29.454999999999998</v>
      </c>
      <c r="P60" s="259">
        <v>32.491</v>
      </c>
      <c r="Q60" s="259">
        <v>35.503</v>
      </c>
      <c r="R60" s="259">
        <v>-0.66400000000000003</v>
      </c>
      <c r="S60" s="259">
        <v>-0.68300000000000005</v>
      </c>
      <c r="T60" s="259">
        <v>-0.69099999999999995</v>
      </c>
      <c r="U60" s="259">
        <v>-0.69799999999999995</v>
      </c>
      <c r="V60" s="259">
        <v>-0.69899999999999995</v>
      </c>
      <c r="W60" s="259">
        <v>-0.70399999999999996</v>
      </c>
      <c r="X60" s="259">
        <v>-0.70799999999999996</v>
      </c>
      <c r="Y60" s="259">
        <v>20.036999999999999</v>
      </c>
      <c r="Z60" s="259">
        <v>25.321999999999999</v>
      </c>
      <c r="AA60" s="259">
        <v>28.84</v>
      </c>
      <c r="AB60" s="259">
        <v>32.22</v>
      </c>
      <c r="AC60" s="259">
        <v>33.292999999999999</v>
      </c>
      <c r="AD60" s="259">
        <v>36.600999999999999</v>
      </c>
      <c r="AE60" s="259">
        <v>39.886000000000003</v>
      </c>
      <c r="AF60" s="259">
        <v>-0.74</v>
      </c>
      <c r="AG60" s="259">
        <v>-0.75</v>
      </c>
      <c r="AH60" s="259">
        <v>-0.755</v>
      </c>
      <c r="AI60" s="259">
        <v>-0.75900000000000001</v>
      </c>
      <c r="AJ60" s="259">
        <v>-0.76</v>
      </c>
      <c r="AK60" s="259">
        <v>-0.76300000000000001</v>
      </c>
      <c r="AL60" s="259">
        <v>-0.76600000000000001</v>
      </c>
      <c r="AM60" s="259">
        <v>8.4000000000000005E-2</v>
      </c>
      <c r="AN60" s="259">
        <v>7.0999999999999994E-2</v>
      </c>
      <c r="AO60" s="259">
        <v>6.6000000000000003E-2</v>
      </c>
      <c r="AP60" s="259">
        <v>6.2E-2</v>
      </c>
      <c r="AQ60" s="259">
        <v>6.0999999999999999E-2</v>
      </c>
      <c r="AR60" s="259">
        <v>5.8999999999999997E-2</v>
      </c>
      <c r="AS60" s="259">
        <v>5.7000000000000002E-2</v>
      </c>
    </row>
    <row r="61" spans="1:45" s="259" customFormat="1">
      <c r="A61" s="259" t="s">
        <v>377</v>
      </c>
      <c r="B61" s="259" t="s">
        <v>166</v>
      </c>
      <c r="C61" s="262">
        <v>46.116766666766672</v>
      </c>
      <c r="D61" s="262">
        <v>-70.366566666566655</v>
      </c>
      <c r="E61" s="263">
        <f>IF(OR(C61="",D61=""),"",ACOS((SIN(RADIANS(C61)) * SIN(RADIANS('Hydrologie-Méthode rationnelle'!$C$22))) + (COS(RADIANS(C61)) * COS(RADIANS('Hydrologie-Méthode rationnelle'!$C$22))) * (COS(RADIANS(D61) - RADIANS('Hydrologie-Méthode rationnelle'!$C$23)))) * 6371)</f>
        <v>8509.8996958796852</v>
      </c>
      <c r="F61" s="259">
        <v>480</v>
      </c>
      <c r="G61" s="259" t="s">
        <v>54</v>
      </c>
      <c r="H61" s="259" t="s">
        <v>62</v>
      </c>
      <c r="I61" s="259" t="s">
        <v>293</v>
      </c>
      <c r="J61" s="259">
        <v>48.316000000000003</v>
      </c>
      <c r="K61" s="259">
        <v>20.23</v>
      </c>
      <c r="L61" s="259">
        <v>28.09</v>
      </c>
      <c r="M61" s="259">
        <v>33.265000000000001</v>
      </c>
      <c r="N61" s="259">
        <v>38.215000000000003</v>
      </c>
      <c r="O61" s="259">
        <v>39.783999999999999</v>
      </c>
      <c r="P61" s="259">
        <v>44.612000000000002</v>
      </c>
      <c r="Q61" s="259">
        <v>49.398000000000003</v>
      </c>
      <c r="R61" s="259">
        <v>-0.63800000000000001</v>
      </c>
      <c r="S61" s="259">
        <v>-0.65600000000000003</v>
      </c>
      <c r="T61" s="259">
        <v>-0.66400000000000003</v>
      </c>
      <c r="U61" s="259">
        <v>-0.67</v>
      </c>
      <c r="V61" s="259">
        <v>-0.67200000000000004</v>
      </c>
      <c r="W61" s="259">
        <v>-0.67600000000000005</v>
      </c>
      <c r="X61" s="259">
        <v>-0.68</v>
      </c>
      <c r="Y61" s="259">
        <v>24.864999999999998</v>
      </c>
      <c r="Z61" s="259">
        <v>37.658999999999999</v>
      </c>
      <c r="AA61" s="259">
        <v>46.591000000000001</v>
      </c>
      <c r="AB61" s="259">
        <v>55.414000000000001</v>
      </c>
      <c r="AC61" s="259">
        <v>58.256999999999998</v>
      </c>
      <c r="AD61" s="259">
        <v>67.123999999999995</v>
      </c>
      <c r="AE61" s="259">
        <v>76.067999999999998</v>
      </c>
      <c r="AF61" s="259">
        <v>-0.73799999999999999</v>
      </c>
      <c r="AG61" s="259">
        <v>-0.79600000000000004</v>
      </c>
      <c r="AH61" s="259">
        <v>-0.82299999999999995</v>
      </c>
      <c r="AI61" s="259">
        <v>-0.84399999999999997</v>
      </c>
      <c r="AJ61" s="259">
        <v>-0.85</v>
      </c>
      <c r="AK61" s="259">
        <v>-0.86599999999999999</v>
      </c>
      <c r="AL61" s="259">
        <v>-0.879</v>
      </c>
      <c r="AM61" s="259">
        <v>0.122</v>
      </c>
      <c r="AN61" s="259">
        <v>0.17699999999999999</v>
      </c>
      <c r="AO61" s="259">
        <v>0.20599999999999999</v>
      </c>
      <c r="AP61" s="259">
        <v>0.22900000000000001</v>
      </c>
      <c r="AQ61" s="259">
        <v>0.23599999999999999</v>
      </c>
      <c r="AR61" s="259">
        <v>0.254</v>
      </c>
      <c r="AS61" s="259">
        <v>0.27</v>
      </c>
    </row>
    <row r="62" spans="1:45" s="259" customFormat="1">
      <c r="A62" s="259" t="s">
        <v>378</v>
      </c>
      <c r="B62" s="259" t="s">
        <v>167</v>
      </c>
      <c r="C62" s="262">
        <v>45.366766666766672</v>
      </c>
      <c r="D62" s="262">
        <v>-71.516566666566661</v>
      </c>
      <c r="E62" s="263">
        <f>IF(OR(C62="",D62=""),"",ACOS((SIN(RADIANS(C62)) * SIN(RADIANS('Hydrologie-Méthode rationnelle'!$C$22))) + (COS(RADIANS(C62)) * COS(RADIANS('Hydrologie-Méthode rationnelle'!$C$22))) * (COS(RADIANS(D62) - RADIANS('Hydrologie-Méthode rationnelle'!$C$23)))) * 6371)</f>
        <v>8576.4968032977395</v>
      </c>
      <c r="F62" s="259">
        <v>345</v>
      </c>
      <c r="G62" s="259" t="s">
        <v>76</v>
      </c>
      <c r="H62" s="259" t="s">
        <v>55</v>
      </c>
      <c r="I62" s="259" t="s">
        <v>299</v>
      </c>
      <c r="J62" s="259">
        <v>35.061999999999998</v>
      </c>
      <c r="K62" s="259">
        <v>19.52</v>
      </c>
      <c r="L62" s="259">
        <v>24.11</v>
      </c>
      <c r="M62" s="259">
        <v>27.140999999999998</v>
      </c>
      <c r="N62" s="259">
        <v>30.045000000000002</v>
      </c>
      <c r="O62" s="259">
        <v>30.966000000000001</v>
      </c>
      <c r="P62" s="259">
        <v>33.801000000000002</v>
      </c>
      <c r="Q62" s="259">
        <v>36.613</v>
      </c>
      <c r="R62" s="259">
        <v>-0.69599999999999995</v>
      </c>
      <c r="S62" s="259">
        <v>-0.70899999999999996</v>
      </c>
      <c r="T62" s="259">
        <v>-0.71599999999999997</v>
      </c>
      <c r="U62" s="259">
        <v>-0.72099999999999997</v>
      </c>
      <c r="V62" s="259">
        <v>-0.72199999999999998</v>
      </c>
      <c r="W62" s="259">
        <v>-0.72599999999999998</v>
      </c>
      <c r="X62" s="259">
        <v>-0.72899999999999998</v>
      </c>
      <c r="Y62" s="259">
        <v>23.105</v>
      </c>
      <c r="Z62" s="259">
        <v>29.146999999999998</v>
      </c>
      <c r="AA62" s="259">
        <v>33.158000000000001</v>
      </c>
      <c r="AB62" s="259">
        <v>37.01</v>
      </c>
      <c r="AC62" s="259">
        <v>38.232999999999997</v>
      </c>
      <c r="AD62" s="259">
        <v>42.003</v>
      </c>
      <c r="AE62" s="259">
        <v>45.747999999999998</v>
      </c>
      <c r="AF62" s="259">
        <v>-0.77900000000000003</v>
      </c>
      <c r="AG62" s="259">
        <v>-0.80200000000000005</v>
      </c>
      <c r="AH62" s="259">
        <v>-0.81399999999999995</v>
      </c>
      <c r="AI62" s="259">
        <v>-0.82299999999999995</v>
      </c>
      <c r="AJ62" s="259">
        <v>-0.82499999999999996</v>
      </c>
      <c r="AK62" s="259">
        <v>-0.83199999999999996</v>
      </c>
      <c r="AL62" s="259">
        <v>-0.83799999999999997</v>
      </c>
      <c r="AM62" s="259">
        <v>8.7999999999999995E-2</v>
      </c>
      <c r="AN62" s="259">
        <v>9.8000000000000004E-2</v>
      </c>
      <c r="AO62" s="259">
        <v>0.10299999999999999</v>
      </c>
      <c r="AP62" s="259">
        <v>0.107</v>
      </c>
      <c r="AQ62" s="259">
        <v>0.108</v>
      </c>
      <c r="AR62" s="259">
        <v>0.111</v>
      </c>
      <c r="AS62" s="259">
        <v>0.114</v>
      </c>
    </row>
    <row r="63" spans="1:45" s="259" customFormat="1">
      <c r="A63" s="259" t="s">
        <v>168</v>
      </c>
      <c r="B63" s="259" t="s">
        <v>169</v>
      </c>
      <c r="C63" s="262">
        <v>45.400100000100004</v>
      </c>
      <c r="D63" s="262">
        <v>-71.899899999900001</v>
      </c>
      <c r="E63" s="263">
        <f>IF(OR(C63="",D63=""),"",ACOS((SIN(RADIANS(C63)) * SIN(RADIANS('Hydrologie-Méthode rationnelle'!$C$22))) + (COS(RADIANS(C63)) * COS(RADIANS('Hydrologie-Méthode rationnelle'!$C$22))) * (COS(RADIANS(D63) - RADIANS('Hydrologie-Méthode rationnelle'!$C$23)))) * 6371)</f>
        <v>8606.4877079600592</v>
      </c>
      <c r="F63" s="259">
        <v>181</v>
      </c>
      <c r="G63" s="259" t="s">
        <v>170</v>
      </c>
      <c r="H63" s="259" t="s">
        <v>61</v>
      </c>
      <c r="I63" s="259" t="s">
        <v>317</v>
      </c>
      <c r="J63" s="259">
        <v>39.365000000000002</v>
      </c>
      <c r="K63" s="259">
        <v>20.433</v>
      </c>
      <c r="L63" s="259">
        <v>26.571000000000002</v>
      </c>
      <c r="M63" s="259">
        <v>30.596</v>
      </c>
      <c r="N63" s="259">
        <v>34.441000000000003</v>
      </c>
      <c r="O63" s="259">
        <v>35.658000000000001</v>
      </c>
      <c r="P63" s="259">
        <v>39.401000000000003</v>
      </c>
      <c r="Q63" s="259">
        <v>43.110999999999997</v>
      </c>
      <c r="R63" s="259">
        <v>-0.69099999999999995</v>
      </c>
      <c r="S63" s="259">
        <v>-0.66900000000000004</v>
      </c>
      <c r="T63" s="259">
        <v>-0.65900000000000003</v>
      </c>
      <c r="U63" s="259">
        <v>-0.65200000000000002</v>
      </c>
      <c r="V63" s="259">
        <v>-0.65</v>
      </c>
      <c r="W63" s="259">
        <v>-0.64500000000000002</v>
      </c>
      <c r="X63" s="259">
        <v>-0.64</v>
      </c>
      <c r="Y63" s="259">
        <v>26.991</v>
      </c>
      <c r="Z63" s="259">
        <v>38.540999999999997</v>
      </c>
      <c r="AA63" s="259">
        <v>46.694000000000003</v>
      </c>
      <c r="AB63" s="259">
        <v>54.832999999999998</v>
      </c>
      <c r="AC63" s="259">
        <v>57.473999999999997</v>
      </c>
      <c r="AD63" s="259">
        <v>65.763999999999996</v>
      </c>
      <c r="AE63" s="259">
        <v>74.203999999999994</v>
      </c>
      <c r="AF63" s="259">
        <v>-0.82399999999999995</v>
      </c>
      <c r="AG63" s="259">
        <v>-0.84299999999999997</v>
      </c>
      <c r="AH63" s="259">
        <v>-0.85499999999999998</v>
      </c>
      <c r="AI63" s="259">
        <v>-0.86599999999999999</v>
      </c>
      <c r="AJ63" s="259">
        <v>-0.86899999999999999</v>
      </c>
      <c r="AK63" s="259">
        <v>-0.878</v>
      </c>
      <c r="AL63" s="259">
        <v>-0.88600000000000001</v>
      </c>
      <c r="AM63" s="259">
        <v>0.157</v>
      </c>
      <c r="AN63" s="259">
        <v>0.22900000000000001</v>
      </c>
      <c r="AO63" s="259">
        <v>0.27200000000000002</v>
      </c>
      <c r="AP63" s="259">
        <v>0.31</v>
      </c>
      <c r="AQ63" s="259">
        <v>0.32100000000000001</v>
      </c>
      <c r="AR63" s="259">
        <v>0.35399999999999998</v>
      </c>
      <c r="AS63" s="259">
        <v>0.38300000000000001</v>
      </c>
    </row>
    <row r="64" spans="1:45" s="259" customFormat="1">
      <c r="A64" s="259" t="s">
        <v>379</v>
      </c>
      <c r="B64" s="259" t="s">
        <v>171</v>
      </c>
      <c r="C64" s="262">
        <v>45.416766666766662</v>
      </c>
      <c r="D64" s="262">
        <v>-71.666566666566666</v>
      </c>
      <c r="E64" s="263">
        <f>IF(OR(C64="",D64=""),"",ACOS((SIN(RADIANS(C64)) * SIN(RADIANS('Hydrologie-Méthode rationnelle'!$C$22))) + (COS(RADIANS(C64)) * COS(RADIANS('Hydrologie-Méthode rationnelle'!$C$22))) * (COS(RADIANS(D64) - RADIANS('Hydrologie-Méthode rationnelle'!$C$23)))) * 6371)</f>
        <v>8589.1761648007287</v>
      </c>
      <c r="F64" s="259">
        <v>241</v>
      </c>
      <c r="G64" s="259" t="s">
        <v>172</v>
      </c>
      <c r="H64" s="259" t="s">
        <v>173</v>
      </c>
      <c r="I64" s="259" t="s">
        <v>318</v>
      </c>
      <c r="J64" s="259">
        <v>41.478999999999999</v>
      </c>
      <c r="K64" s="259">
        <v>20.492000000000001</v>
      </c>
      <c r="L64" s="259">
        <v>26.861000000000001</v>
      </c>
      <c r="M64" s="259">
        <v>31.076000000000001</v>
      </c>
      <c r="N64" s="259">
        <v>35.118000000000002</v>
      </c>
      <c r="O64" s="259">
        <v>36.4</v>
      </c>
      <c r="P64" s="259">
        <v>40.348999999999997</v>
      </c>
      <c r="Q64" s="259">
        <v>44.268999999999998</v>
      </c>
      <c r="R64" s="259">
        <v>-0.67700000000000005</v>
      </c>
      <c r="S64" s="259">
        <v>-0.67800000000000005</v>
      </c>
      <c r="T64" s="259">
        <v>-0.67800000000000005</v>
      </c>
      <c r="U64" s="259">
        <v>-0.67800000000000005</v>
      </c>
      <c r="V64" s="259">
        <v>-0.67800000000000005</v>
      </c>
      <c r="W64" s="259">
        <v>-0.67800000000000005</v>
      </c>
      <c r="X64" s="259">
        <v>-0.67800000000000005</v>
      </c>
      <c r="Y64" s="259">
        <v>24.167000000000002</v>
      </c>
      <c r="Z64" s="259">
        <v>32.389000000000003</v>
      </c>
      <c r="AA64" s="259">
        <v>37.860999999999997</v>
      </c>
      <c r="AB64" s="259">
        <v>43.122999999999998</v>
      </c>
      <c r="AC64" s="259">
        <v>44.793999999999997</v>
      </c>
      <c r="AD64" s="259">
        <v>49.947000000000003</v>
      </c>
      <c r="AE64" s="259">
        <v>55.069000000000003</v>
      </c>
      <c r="AF64" s="259">
        <v>-0.75800000000000001</v>
      </c>
      <c r="AG64" s="259">
        <v>-0.76900000000000002</v>
      </c>
      <c r="AH64" s="259">
        <v>-0.77400000000000002</v>
      </c>
      <c r="AI64" s="259">
        <v>-0.77800000000000002</v>
      </c>
      <c r="AJ64" s="259">
        <v>-0.77900000000000003</v>
      </c>
      <c r="AK64" s="259">
        <v>-0.78200000000000003</v>
      </c>
      <c r="AL64" s="259">
        <v>-0.78400000000000003</v>
      </c>
      <c r="AM64" s="259">
        <v>8.7999999999999995E-2</v>
      </c>
      <c r="AN64" s="259">
        <v>0.10199999999999999</v>
      </c>
      <c r="AO64" s="259">
        <v>0.108</v>
      </c>
      <c r="AP64" s="259">
        <v>0.113</v>
      </c>
      <c r="AQ64" s="259">
        <v>0.114</v>
      </c>
      <c r="AR64" s="259">
        <v>0.11799999999999999</v>
      </c>
      <c r="AS64" s="259">
        <v>0.121</v>
      </c>
    </row>
    <row r="65" spans="1:45" s="259" customFormat="1">
      <c r="A65" s="259" t="s">
        <v>380</v>
      </c>
      <c r="B65" s="259" t="s">
        <v>174</v>
      </c>
      <c r="C65" s="262">
        <v>46.100100000100007</v>
      </c>
      <c r="D65" s="262">
        <v>-71.333233333233323</v>
      </c>
      <c r="E65" s="263">
        <f>IF(OR(C65="",D65=""),"",ACOS((SIN(RADIANS(C65)) * SIN(RADIANS('Hydrologie-Méthode rationnelle'!$C$22))) + (COS(RADIANS(C65)) * COS(RADIANS('Hydrologie-Méthode rationnelle'!$C$22))) * (COS(RADIANS(D65) - RADIANS('Hydrologie-Méthode rationnelle'!$C$23)))) * 6371)</f>
        <v>8581.7411566796854</v>
      </c>
      <c r="F65" s="259">
        <v>381</v>
      </c>
      <c r="G65" s="259" t="s">
        <v>64</v>
      </c>
      <c r="H65" s="259" t="s">
        <v>55</v>
      </c>
      <c r="I65" s="259" t="s">
        <v>314</v>
      </c>
      <c r="J65" s="259">
        <v>43.801000000000002</v>
      </c>
      <c r="K65" s="259">
        <v>21.966000000000001</v>
      </c>
      <c r="L65" s="259">
        <v>28.744</v>
      </c>
      <c r="M65" s="259">
        <v>33.228000000000002</v>
      </c>
      <c r="N65" s="259">
        <v>37.527999999999999</v>
      </c>
      <c r="O65" s="259">
        <v>38.892000000000003</v>
      </c>
      <c r="P65" s="259">
        <v>43.091999999999999</v>
      </c>
      <c r="Q65" s="259">
        <v>47.261000000000003</v>
      </c>
      <c r="R65" s="259">
        <v>-0.67100000000000004</v>
      </c>
      <c r="S65" s="259">
        <v>-0.67700000000000005</v>
      </c>
      <c r="T65" s="259">
        <v>-0.68</v>
      </c>
      <c r="U65" s="259">
        <v>-0.68200000000000005</v>
      </c>
      <c r="V65" s="259">
        <v>-0.68300000000000005</v>
      </c>
      <c r="W65" s="259">
        <v>-0.68400000000000005</v>
      </c>
      <c r="X65" s="259">
        <v>-0.68600000000000005</v>
      </c>
      <c r="Y65" s="259">
        <v>25.446999999999999</v>
      </c>
      <c r="Z65" s="259">
        <v>34.109000000000002</v>
      </c>
      <c r="AA65" s="259">
        <v>39.863</v>
      </c>
      <c r="AB65" s="259">
        <v>45.39</v>
      </c>
      <c r="AC65" s="259">
        <v>47.145000000000003</v>
      </c>
      <c r="AD65" s="259">
        <v>52.552999999999997</v>
      </c>
      <c r="AE65" s="259">
        <v>57.924999999999997</v>
      </c>
      <c r="AF65" s="259">
        <v>-0.74399999999999999</v>
      </c>
      <c r="AG65" s="259">
        <v>-0.76100000000000001</v>
      </c>
      <c r="AH65" s="259">
        <v>-0.76900000000000002</v>
      </c>
      <c r="AI65" s="259">
        <v>-0.77500000000000002</v>
      </c>
      <c r="AJ65" s="259">
        <v>-0.77700000000000002</v>
      </c>
      <c r="AK65" s="259">
        <v>-0.78100000000000003</v>
      </c>
      <c r="AL65" s="259">
        <v>-0.78500000000000003</v>
      </c>
      <c r="AM65" s="259">
        <v>7.9000000000000001E-2</v>
      </c>
      <c r="AN65" s="259">
        <v>9.1999999999999998E-2</v>
      </c>
      <c r="AO65" s="259">
        <v>9.8000000000000004E-2</v>
      </c>
      <c r="AP65" s="259">
        <v>0.10299999999999999</v>
      </c>
      <c r="AQ65" s="259">
        <v>0.104</v>
      </c>
      <c r="AR65" s="259">
        <v>0.108</v>
      </c>
      <c r="AS65" s="259">
        <v>0.11</v>
      </c>
    </row>
    <row r="66" spans="1:45" s="259" customFormat="1">
      <c r="A66" s="259" t="s">
        <v>381</v>
      </c>
      <c r="B66" s="259" t="s">
        <v>175</v>
      </c>
      <c r="C66" s="262">
        <v>46.366766666766672</v>
      </c>
      <c r="D66" s="262">
        <v>-70.916566666566666</v>
      </c>
      <c r="E66" s="263">
        <f>IF(OR(C66="",D66=""),"",ACOS((SIN(RADIANS(C66)) * SIN(RADIANS('Hydrologie-Méthode rationnelle'!$C$22))) + (COS(RADIANS(C66)) * COS(RADIANS('Hydrologie-Méthode rationnelle'!$C$22))) * (COS(RADIANS(D66) - RADIANS('Hydrologie-Méthode rationnelle'!$C$23)))) * 6371)</f>
        <v>8557.7349734014224</v>
      </c>
      <c r="F66" s="259">
        <v>152</v>
      </c>
      <c r="G66" s="259" t="s">
        <v>76</v>
      </c>
      <c r="H66" s="259" t="s">
        <v>55</v>
      </c>
      <c r="I66" s="259" t="s">
        <v>299</v>
      </c>
      <c r="J66" s="259">
        <v>41.195</v>
      </c>
      <c r="K66" s="259">
        <v>19.93</v>
      </c>
      <c r="L66" s="259">
        <v>26.228999999999999</v>
      </c>
      <c r="M66" s="259">
        <v>30.38</v>
      </c>
      <c r="N66" s="259">
        <v>34.353999999999999</v>
      </c>
      <c r="O66" s="259">
        <v>35.613</v>
      </c>
      <c r="P66" s="259">
        <v>39.488</v>
      </c>
      <c r="Q66" s="259">
        <v>43.331000000000003</v>
      </c>
      <c r="R66" s="259">
        <v>-0.67600000000000005</v>
      </c>
      <c r="S66" s="259">
        <v>-0.69799999999999995</v>
      </c>
      <c r="T66" s="259">
        <v>-0.70799999999999996</v>
      </c>
      <c r="U66" s="259">
        <v>-0.71499999999999997</v>
      </c>
      <c r="V66" s="259">
        <v>-0.71699999999999997</v>
      </c>
      <c r="W66" s="259">
        <v>-0.72299999999999998</v>
      </c>
      <c r="X66" s="259">
        <v>-0.72699999999999998</v>
      </c>
      <c r="Y66" s="259">
        <v>23.52</v>
      </c>
      <c r="Z66" s="259">
        <v>32.250999999999998</v>
      </c>
      <c r="AA66" s="259">
        <v>38.091000000000001</v>
      </c>
      <c r="AB66" s="259">
        <v>43.722000000000001</v>
      </c>
      <c r="AC66" s="259">
        <v>45.512999999999998</v>
      </c>
      <c r="AD66" s="259">
        <v>51.040999999999997</v>
      </c>
      <c r="AE66" s="259">
        <v>56.543999999999997</v>
      </c>
      <c r="AF66" s="259">
        <v>-0.75800000000000001</v>
      </c>
      <c r="AG66" s="259">
        <v>-0.79900000000000004</v>
      </c>
      <c r="AH66" s="259">
        <v>-0.81799999999999995</v>
      </c>
      <c r="AI66" s="259">
        <v>-0.83199999999999996</v>
      </c>
      <c r="AJ66" s="259">
        <v>-0.83599999999999997</v>
      </c>
      <c r="AK66" s="259">
        <v>-0.84599999999999997</v>
      </c>
      <c r="AL66" s="259">
        <v>-0.85499999999999998</v>
      </c>
      <c r="AM66" s="259">
        <v>8.8999999999999996E-2</v>
      </c>
      <c r="AN66" s="259">
        <v>0.11</v>
      </c>
      <c r="AO66" s="259">
        <v>0.12</v>
      </c>
      <c r="AP66" s="259">
        <v>0.128</v>
      </c>
      <c r="AQ66" s="259">
        <v>0.13</v>
      </c>
      <c r="AR66" s="259">
        <v>0.13600000000000001</v>
      </c>
      <c r="AS66" s="259">
        <v>0.14000000000000001</v>
      </c>
    </row>
    <row r="67" spans="1:45" s="259" customFormat="1">
      <c r="A67" s="259" t="s">
        <v>176</v>
      </c>
      <c r="B67" s="259" t="s">
        <v>177</v>
      </c>
      <c r="C67" s="262">
        <v>45.266766666766678</v>
      </c>
      <c r="D67" s="262">
        <v>-74.099899999899989</v>
      </c>
      <c r="E67" s="263">
        <f>IF(OR(C67="",D67=""),"",ACOS((SIN(RADIANS(C67)) * SIN(RADIANS('Hydrologie-Méthode rationnelle'!$C$22))) + (COS(RADIANS(C67)) * COS(RADIANS('Hydrologie-Méthode rationnelle'!$C$22))) * (COS(RADIANS(D67) - RADIANS('Hydrologie-Méthode rationnelle'!$C$23)))) * 6371)</f>
        <v>8771.3735025907827</v>
      </c>
      <c r="F67" s="259">
        <v>45</v>
      </c>
      <c r="G67" s="259" t="s">
        <v>102</v>
      </c>
      <c r="H67" s="259" t="s">
        <v>95</v>
      </c>
      <c r="I67" s="259" t="s">
        <v>317</v>
      </c>
      <c r="J67" s="259">
        <v>38.527000000000001</v>
      </c>
      <c r="K67" s="259">
        <v>17.774999999999999</v>
      </c>
      <c r="L67" s="259">
        <v>24.524000000000001</v>
      </c>
      <c r="M67" s="259">
        <v>28.966999999999999</v>
      </c>
      <c r="N67" s="259">
        <v>33.219000000000001</v>
      </c>
      <c r="O67" s="259">
        <v>34.567</v>
      </c>
      <c r="P67" s="259">
        <v>38.716000000000001</v>
      </c>
      <c r="Q67" s="259">
        <v>42.831000000000003</v>
      </c>
      <c r="R67" s="259">
        <v>-0.61799999999999999</v>
      </c>
      <c r="S67" s="259">
        <v>-0.60099999999999998</v>
      </c>
      <c r="T67" s="259">
        <v>-0.59499999999999997</v>
      </c>
      <c r="U67" s="259">
        <v>-0.59099999999999997</v>
      </c>
      <c r="V67" s="259">
        <v>-0.59</v>
      </c>
      <c r="W67" s="259">
        <v>-0.58699999999999997</v>
      </c>
      <c r="X67" s="259">
        <v>-0.58399999999999996</v>
      </c>
      <c r="Y67" s="259">
        <v>22.707000000000001</v>
      </c>
      <c r="Z67" s="259">
        <v>30.501999999999999</v>
      </c>
      <c r="AA67" s="259">
        <v>35.593000000000004</v>
      </c>
      <c r="AB67" s="259">
        <v>40.451000000000001</v>
      </c>
      <c r="AC67" s="259">
        <v>41.988</v>
      </c>
      <c r="AD67" s="259">
        <v>46.715000000000003</v>
      </c>
      <c r="AE67" s="259">
        <v>51.399000000000001</v>
      </c>
      <c r="AF67" s="259">
        <v>-0.73499999999999999</v>
      </c>
      <c r="AG67" s="259">
        <v>-0.70599999999999996</v>
      </c>
      <c r="AH67" s="259">
        <v>-0.69499999999999995</v>
      </c>
      <c r="AI67" s="259">
        <v>-0.68600000000000005</v>
      </c>
      <c r="AJ67" s="259">
        <v>-0.68400000000000005</v>
      </c>
      <c r="AK67" s="259">
        <v>-0.67700000000000005</v>
      </c>
      <c r="AL67" s="259">
        <v>-0.67300000000000004</v>
      </c>
      <c r="AM67" s="259">
        <v>0.154</v>
      </c>
      <c r="AN67" s="259">
        <v>0.13900000000000001</v>
      </c>
      <c r="AO67" s="259">
        <v>0.13200000000000001</v>
      </c>
      <c r="AP67" s="259">
        <v>0.126</v>
      </c>
      <c r="AQ67" s="259">
        <v>0.125</v>
      </c>
      <c r="AR67" s="259">
        <v>0.12</v>
      </c>
      <c r="AS67" s="259">
        <v>0.11700000000000001</v>
      </c>
    </row>
    <row r="68" spans="1:45" s="259" customFormat="1">
      <c r="A68" s="259" t="s">
        <v>178</v>
      </c>
      <c r="B68" s="259" t="s">
        <v>179</v>
      </c>
      <c r="C68" s="262">
        <v>46.200100000100008</v>
      </c>
      <c r="D68" s="262">
        <v>-70.783233333233326</v>
      </c>
      <c r="E68" s="263">
        <f>IF(OR(C68="",D68=""),"",ACOS((SIN(RADIANS(C68)) * SIN(RADIANS('Hydrologie-Méthode rationnelle'!$C$22))) + (COS(RADIANS(C68)) * COS(RADIANS('Hydrologie-Méthode rationnelle'!$C$22))) * (COS(RADIANS(D68) - RADIANS('Hydrologie-Méthode rationnelle'!$C$23)))) * 6371)</f>
        <v>8543.285597501992</v>
      </c>
      <c r="F68" s="259">
        <v>229</v>
      </c>
      <c r="G68" s="259" t="s">
        <v>88</v>
      </c>
      <c r="H68" s="259" t="s">
        <v>292</v>
      </c>
      <c r="I68" s="259" t="s">
        <v>294</v>
      </c>
      <c r="J68" s="259">
        <v>33.53</v>
      </c>
      <c r="K68" s="259">
        <v>20.597999999999999</v>
      </c>
      <c r="L68" s="259">
        <v>26.484000000000002</v>
      </c>
      <c r="M68" s="259">
        <v>30.373000000000001</v>
      </c>
      <c r="N68" s="259">
        <v>34.098999999999997</v>
      </c>
      <c r="O68" s="259">
        <v>35.28</v>
      </c>
      <c r="P68" s="259">
        <v>38.917999999999999</v>
      </c>
      <c r="Q68" s="259">
        <v>42.527999999999999</v>
      </c>
      <c r="R68" s="259">
        <v>-0.65900000000000003</v>
      </c>
      <c r="S68" s="259">
        <v>-0.66300000000000003</v>
      </c>
      <c r="T68" s="259">
        <v>-0.66500000000000004</v>
      </c>
      <c r="U68" s="259">
        <v>-0.66600000000000004</v>
      </c>
      <c r="V68" s="259">
        <v>-0.66700000000000004</v>
      </c>
      <c r="W68" s="259">
        <v>-0.66800000000000004</v>
      </c>
      <c r="X68" s="259">
        <v>-0.66800000000000004</v>
      </c>
      <c r="Y68" s="259">
        <v>23.126000000000001</v>
      </c>
      <c r="Z68" s="259">
        <v>29.122</v>
      </c>
      <c r="AA68" s="259">
        <v>33.091999999999999</v>
      </c>
      <c r="AB68" s="259">
        <v>36.9</v>
      </c>
      <c r="AC68" s="259">
        <v>38.107999999999997</v>
      </c>
      <c r="AD68" s="259">
        <v>41.83</v>
      </c>
      <c r="AE68" s="259">
        <v>45.524999999999999</v>
      </c>
      <c r="AF68" s="259">
        <v>-0.71699999999999997</v>
      </c>
      <c r="AG68" s="259">
        <v>-0.71099999999999997</v>
      </c>
      <c r="AH68" s="259">
        <v>-0.70799999999999996</v>
      </c>
      <c r="AI68" s="259">
        <v>-0.70599999999999996</v>
      </c>
      <c r="AJ68" s="259">
        <v>-0.70499999999999996</v>
      </c>
      <c r="AK68" s="259">
        <v>-0.70399999999999996</v>
      </c>
      <c r="AL68" s="259">
        <v>-0.70299999999999996</v>
      </c>
      <c r="AM68" s="259">
        <v>6.0999999999999999E-2</v>
      </c>
      <c r="AN68" s="259">
        <v>4.9000000000000002E-2</v>
      </c>
      <c r="AO68" s="259">
        <v>4.3999999999999997E-2</v>
      </c>
      <c r="AP68" s="259">
        <v>0.04</v>
      </c>
      <c r="AQ68" s="259">
        <v>3.9E-2</v>
      </c>
      <c r="AR68" s="259">
        <v>3.5999999999999997E-2</v>
      </c>
      <c r="AS68" s="259">
        <v>3.4000000000000002E-2</v>
      </c>
    </row>
    <row r="69" spans="1:45" s="259" customFormat="1">
      <c r="A69" s="259" t="s">
        <v>382</v>
      </c>
      <c r="B69" s="259" t="s">
        <v>180</v>
      </c>
      <c r="C69" s="262">
        <v>45.400100000100004</v>
      </c>
      <c r="D69" s="262">
        <v>-71.299899999899992</v>
      </c>
      <c r="E69" s="263">
        <f>IF(OR(C69="",D69=""),"",ACOS((SIN(RADIANS(C69)) * SIN(RADIANS('Hydrologie-Méthode rationnelle'!$C$22))) + (COS(RADIANS(C69)) * COS(RADIANS('Hydrologie-Méthode rationnelle'!$C$22))) * (COS(RADIANS(D69) - RADIANS('Hydrologie-Méthode rationnelle'!$C$23)))) * 6371)</f>
        <v>8560.9036668659483</v>
      </c>
      <c r="F69" s="259">
        <v>512</v>
      </c>
      <c r="G69" s="259" t="s">
        <v>133</v>
      </c>
      <c r="H69" s="259" t="s">
        <v>181</v>
      </c>
      <c r="I69" s="259" t="s">
        <v>300</v>
      </c>
      <c r="J69" s="259">
        <v>32.533999999999999</v>
      </c>
      <c r="K69" s="259">
        <v>18.736000000000001</v>
      </c>
      <c r="L69" s="259">
        <v>23.824999999999999</v>
      </c>
      <c r="M69" s="259">
        <v>27.18</v>
      </c>
      <c r="N69" s="259">
        <v>30.390999999999998</v>
      </c>
      <c r="O69" s="259">
        <v>31.408999999999999</v>
      </c>
      <c r="P69" s="259">
        <v>34.540999999999997</v>
      </c>
      <c r="Q69" s="259">
        <v>37.646999999999998</v>
      </c>
      <c r="R69" s="259">
        <v>-0.69799999999999995</v>
      </c>
      <c r="S69" s="259">
        <v>-0.71699999999999997</v>
      </c>
      <c r="T69" s="259">
        <v>-0.72599999999999998</v>
      </c>
      <c r="U69" s="259">
        <v>-0.73299999999999998</v>
      </c>
      <c r="V69" s="259">
        <v>-0.73499999999999999</v>
      </c>
      <c r="W69" s="259">
        <v>-0.74</v>
      </c>
      <c r="X69" s="259">
        <v>-0.74399999999999999</v>
      </c>
      <c r="Y69" s="259">
        <v>20.960999999999999</v>
      </c>
      <c r="Z69" s="259">
        <v>26.48</v>
      </c>
      <c r="AA69" s="259">
        <v>30.134</v>
      </c>
      <c r="AB69" s="259">
        <v>33.639000000000003</v>
      </c>
      <c r="AC69" s="259">
        <v>34.750999999999998</v>
      </c>
      <c r="AD69" s="259">
        <v>38.174999999999997</v>
      </c>
      <c r="AE69" s="259">
        <v>41.573</v>
      </c>
      <c r="AF69" s="259">
        <v>-0.754</v>
      </c>
      <c r="AG69" s="259">
        <v>-0.77</v>
      </c>
      <c r="AH69" s="259">
        <v>-0.77800000000000002</v>
      </c>
      <c r="AI69" s="259">
        <v>-0.78400000000000003</v>
      </c>
      <c r="AJ69" s="259">
        <v>-0.78500000000000003</v>
      </c>
      <c r="AK69" s="259">
        <v>-0.79</v>
      </c>
      <c r="AL69" s="259">
        <v>-0.79400000000000004</v>
      </c>
      <c r="AM69" s="259">
        <v>5.6000000000000001E-2</v>
      </c>
      <c r="AN69" s="259">
        <v>5.0999999999999997E-2</v>
      </c>
      <c r="AO69" s="259">
        <v>4.9000000000000002E-2</v>
      </c>
      <c r="AP69" s="259">
        <v>4.7E-2</v>
      </c>
      <c r="AQ69" s="259">
        <v>4.7E-2</v>
      </c>
      <c r="AR69" s="259">
        <v>4.5999999999999999E-2</v>
      </c>
      <c r="AS69" s="259">
        <v>4.5999999999999999E-2</v>
      </c>
    </row>
    <row r="70" spans="1:45" s="259" customFormat="1">
      <c r="A70" s="259" t="s">
        <v>182</v>
      </c>
      <c r="B70" s="259" t="s">
        <v>183</v>
      </c>
      <c r="C70" s="262">
        <v>45.366766666766672</v>
      </c>
      <c r="D70" s="262">
        <v>-70.866566666566655</v>
      </c>
      <c r="E70" s="263">
        <f>IF(OR(C70="",D70=""),"",ACOS((SIN(RADIANS(C70)) * SIN(RADIANS('Hydrologie-Méthode rationnelle'!$C$22))) + (COS(RADIANS(C70)) * COS(RADIANS('Hydrologie-Méthode rationnelle'!$C$22))) * (COS(RADIANS(D70) - RADIANS('Hydrologie-Méthode rationnelle'!$C$23)))) * 6371)</f>
        <v>8527.1466520715858</v>
      </c>
      <c r="F70" s="259">
        <v>396</v>
      </c>
      <c r="G70" s="259" t="s">
        <v>54</v>
      </c>
      <c r="H70" s="259" t="s">
        <v>151</v>
      </c>
      <c r="I70" s="259" t="s">
        <v>309</v>
      </c>
      <c r="J70" s="259">
        <v>36.512</v>
      </c>
      <c r="K70" s="259">
        <v>17.468</v>
      </c>
      <c r="L70" s="259">
        <v>21.925000000000001</v>
      </c>
      <c r="M70" s="259">
        <v>24.838999999999999</v>
      </c>
      <c r="N70" s="259">
        <v>27.616</v>
      </c>
      <c r="O70" s="259">
        <v>28.494</v>
      </c>
      <c r="P70" s="259">
        <v>31.190999999999999</v>
      </c>
      <c r="Q70" s="259">
        <v>33.860999999999997</v>
      </c>
      <c r="R70" s="259">
        <v>-0.65900000000000003</v>
      </c>
      <c r="S70" s="259">
        <v>-0.629</v>
      </c>
      <c r="T70" s="259">
        <v>-0.61499999999999999</v>
      </c>
      <c r="U70" s="259">
        <v>-0.60399999999999998</v>
      </c>
      <c r="V70" s="259">
        <v>-0.60099999999999998</v>
      </c>
      <c r="W70" s="259">
        <v>-0.59299999999999997</v>
      </c>
      <c r="X70" s="259">
        <v>-0.58599999999999997</v>
      </c>
      <c r="Y70" s="259">
        <v>21.777999999999999</v>
      </c>
      <c r="Z70" s="259">
        <v>28.765999999999998</v>
      </c>
      <c r="AA70" s="259">
        <v>33.633000000000003</v>
      </c>
      <c r="AB70" s="259">
        <v>38.475000000000001</v>
      </c>
      <c r="AC70" s="259">
        <v>40.045999999999999</v>
      </c>
      <c r="AD70" s="259">
        <v>44.982999999999997</v>
      </c>
      <c r="AE70" s="259">
        <v>50.021999999999998</v>
      </c>
      <c r="AF70" s="259">
        <v>-0.76600000000000001</v>
      </c>
      <c r="AG70" s="259">
        <v>-0.75800000000000001</v>
      </c>
      <c r="AH70" s="259">
        <v>-0.75800000000000001</v>
      </c>
      <c r="AI70" s="259">
        <v>-0.75900000000000001</v>
      </c>
      <c r="AJ70" s="259">
        <v>-0.76</v>
      </c>
      <c r="AK70" s="259">
        <v>-0.76200000000000001</v>
      </c>
      <c r="AL70" s="259">
        <v>-0.76500000000000001</v>
      </c>
      <c r="AM70" s="259">
        <v>0.127</v>
      </c>
      <c r="AN70" s="259">
        <v>0.17</v>
      </c>
      <c r="AO70" s="259">
        <v>0.19900000000000001</v>
      </c>
      <c r="AP70" s="259">
        <v>0.22700000000000001</v>
      </c>
      <c r="AQ70" s="259">
        <v>0.23499999999999999</v>
      </c>
      <c r="AR70" s="259">
        <v>0.26100000000000001</v>
      </c>
      <c r="AS70" s="259">
        <v>0.28599999999999998</v>
      </c>
    </row>
    <row r="71" spans="1:45" s="259" customFormat="1">
      <c r="A71" s="259" t="s">
        <v>383</v>
      </c>
      <c r="B71" s="259" t="s">
        <v>184</v>
      </c>
      <c r="C71" s="262">
        <v>45.416766666766662</v>
      </c>
      <c r="D71" s="262">
        <v>-73.916566666566666</v>
      </c>
      <c r="E71" s="263">
        <f>IF(OR(C71="",D71=""),"",ACOS((SIN(RADIANS(C71)) * SIN(RADIANS('Hydrologie-Méthode rationnelle'!$C$22))) + (COS(RADIANS(C71)) * COS(RADIANS('Hydrologie-Méthode rationnelle'!$C$22))) * (COS(RADIANS(D71) - RADIANS('Hydrologie-Méthode rationnelle'!$C$23)))) * 6371)</f>
        <v>8760.6652448815148</v>
      </c>
      <c r="F71" s="259">
        <v>39</v>
      </c>
      <c r="G71" s="259" t="s">
        <v>66</v>
      </c>
      <c r="H71" s="259" t="s">
        <v>292</v>
      </c>
      <c r="I71" s="259" t="s">
        <v>319</v>
      </c>
      <c r="J71" s="259">
        <v>41.451999999999998</v>
      </c>
      <c r="K71" s="259">
        <v>20.053000000000001</v>
      </c>
      <c r="L71" s="259">
        <v>26.385000000000002</v>
      </c>
      <c r="M71" s="259">
        <v>30.574999999999999</v>
      </c>
      <c r="N71" s="259">
        <v>34.593000000000004</v>
      </c>
      <c r="O71" s="259">
        <v>35.866999999999997</v>
      </c>
      <c r="P71" s="259">
        <v>39.792000000000002</v>
      </c>
      <c r="Q71" s="259">
        <v>43.686999999999998</v>
      </c>
      <c r="R71" s="259">
        <v>-0.68300000000000005</v>
      </c>
      <c r="S71" s="259">
        <v>-0.68400000000000005</v>
      </c>
      <c r="T71" s="259">
        <v>-0.68400000000000005</v>
      </c>
      <c r="U71" s="259">
        <v>-0.68400000000000005</v>
      </c>
      <c r="V71" s="259">
        <v>-0.68400000000000005</v>
      </c>
      <c r="W71" s="259">
        <v>-0.68500000000000005</v>
      </c>
      <c r="X71" s="259">
        <v>-0.68500000000000005</v>
      </c>
      <c r="Y71" s="259">
        <v>24.122</v>
      </c>
      <c r="Z71" s="259">
        <v>32.094999999999999</v>
      </c>
      <c r="AA71" s="259">
        <v>37.386000000000003</v>
      </c>
      <c r="AB71" s="259">
        <v>42.468000000000004</v>
      </c>
      <c r="AC71" s="259">
        <v>44.08</v>
      </c>
      <c r="AD71" s="259">
        <v>49.051000000000002</v>
      </c>
      <c r="AE71" s="259">
        <v>53.988</v>
      </c>
      <c r="AF71" s="259">
        <v>-0.77300000000000002</v>
      </c>
      <c r="AG71" s="259">
        <v>-0.77900000000000003</v>
      </c>
      <c r="AH71" s="259">
        <v>-0.78200000000000003</v>
      </c>
      <c r="AI71" s="259">
        <v>-0.78400000000000003</v>
      </c>
      <c r="AJ71" s="259">
        <v>-0.78500000000000003</v>
      </c>
      <c r="AK71" s="259">
        <v>-0.78600000000000003</v>
      </c>
      <c r="AL71" s="259">
        <v>-0.78700000000000003</v>
      </c>
      <c r="AM71" s="259">
        <v>9.9000000000000005E-2</v>
      </c>
      <c r="AN71" s="259">
        <v>0.106</v>
      </c>
      <c r="AO71" s="259">
        <v>0.109</v>
      </c>
      <c r="AP71" s="259">
        <v>0.112</v>
      </c>
      <c r="AQ71" s="259">
        <v>0.112</v>
      </c>
      <c r="AR71" s="259">
        <v>0.114</v>
      </c>
      <c r="AS71" s="259">
        <v>0.11600000000000001</v>
      </c>
    </row>
    <row r="72" spans="1:45" s="259" customFormat="1">
      <c r="A72" s="259" t="s">
        <v>384</v>
      </c>
      <c r="B72" s="259" t="s">
        <v>185</v>
      </c>
      <c r="C72" s="262">
        <v>45.283433333433337</v>
      </c>
      <c r="D72" s="262">
        <v>-73.333233333233323</v>
      </c>
      <c r="E72" s="263">
        <f>IF(OR(C72="",D72=""),"",ACOS((SIN(RADIANS(C72)) * SIN(RADIANS('Hydrologie-Méthode rationnelle'!$C$22))) + (COS(RADIANS(C72)) * COS(RADIANS('Hydrologie-Méthode rationnelle'!$C$22))) * (COS(RADIANS(D72) - RADIANS('Hydrologie-Méthode rationnelle'!$C$23)))) * 6371)</f>
        <v>8713.0117110284446</v>
      </c>
      <c r="F72" s="259">
        <v>43</v>
      </c>
      <c r="G72" s="259" t="s">
        <v>117</v>
      </c>
      <c r="H72" s="259" t="s">
        <v>292</v>
      </c>
      <c r="I72" s="259" t="s">
        <v>301</v>
      </c>
      <c r="J72" s="259">
        <v>46.164999999999999</v>
      </c>
      <c r="K72" s="259">
        <v>22.908999999999999</v>
      </c>
      <c r="L72" s="259">
        <v>30.2</v>
      </c>
      <c r="M72" s="259">
        <v>35.012999999999998</v>
      </c>
      <c r="N72" s="259">
        <v>39.622999999999998</v>
      </c>
      <c r="O72" s="259">
        <v>41.085000000000001</v>
      </c>
      <c r="P72" s="259">
        <v>45.585000000000001</v>
      </c>
      <c r="Q72" s="259">
        <v>50.05</v>
      </c>
      <c r="R72" s="259">
        <v>-0.68</v>
      </c>
      <c r="S72" s="259">
        <v>-0.68100000000000005</v>
      </c>
      <c r="T72" s="259">
        <v>-0.68100000000000005</v>
      </c>
      <c r="U72" s="259">
        <v>-0.68100000000000005</v>
      </c>
      <c r="V72" s="259">
        <v>-0.68100000000000005</v>
      </c>
      <c r="W72" s="259">
        <v>-0.68100000000000005</v>
      </c>
      <c r="X72" s="259">
        <v>-0.68100000000000005</v>
      </c>
      <c r="Y72" s="259">
        <v>26.468</v>
      </c>
      <c r="Z72" s="259">
        <v>37.124000000000002</v>
      </c>
      <c r="AA72" s="259">
        <v>44.277999999999999</v>
      </c>
      <c r="AB72" s="259">
        <v>51.186</v>
      </c>
      <c r="AC72" s="259">
        <v>53.384</v>
      </c>
      <c r="AD72" s="259">
        <v>60.170999999999999</v>
      </c>
      <c r="AE72" s="259">
        <v>66.929000000000002</v>
      </c>
      <c r="AF72" s="259">
        <v>-0.752</v>
      </c>
      <c r="AG72" s="259">
        <v>-0.78100000000000003</v>
      </c>
      <c r="AH72" s="259">
        <v>-0.79400000000000004</v>
      </c>
      <c r="AI72" s="259">
        <v>-0.80400000000000005</v>
      </c>
      <c r="AJ72" s="259">
        <v>-0.80700000000000005</v>
      </c>
      <c r="AK72" s="259">
        <v>-0.81399999999999995</v>
      </c>
      <c r="AL72" s="259">
        <v>-0.82</v>
      </c>
      <c r="AM72" s="259">
        <v>7.5999999999999998E-2</v>
      </c>
      <c r="AN72" s="259">
        <v>0.113</v>
      </c>
      <c r="AO72" s="259">
        <v>0.13100000000000001</v>
      </c>
      <c r="AP72" s="259">
        <v>0.14499999999999999</v>
      </c>
      <c r="AQ72" s="259">
        <v>0.14899999999999999</v>
      </c>
      <c r="AR72" s="259">
        <v>0.159</v>
      </c>
      <c r="AS72" s="259">
        <v>0.16800000000000001</v>
      </c>
    </row>
    <row r="73" spans="1:45" s="259" customFormat="1">
      <c r="A73" s="259" t="s">
        <v>385</v>
      </c>
      <c r="B73" s="259" t="s">
        <v>186</v>
      </c>
      <c r="C73" s="262">
        <v>45.466766666766674</v>
      </c>
      <c r="D73" s="262">
        <v>-73.733233333233329</v>
      </c>
      <c r="E73" s="263">
        <f>IF(OR(C73="",D73=""),"",ACOS((SIN(RADIANS(C73)) * SIN(RADIANS('Hydrologie-Méthode rationnelle'!$C$22))) + (COS(RADIANS(C73)) * COS(RADIANS('Hydrologie-Méthode rationnelle'!$C$22))) * (COS(RADIANS(D73) - RADIANS('Hydrologie-Méthode rationnelle'!$C$23)))) * 6371)</f>
        <v>8747.7832410842948</v>
      </c>
      <c r="F73" s="259">
        <v>32</v>
      </c>
      <c r="G73" s="259" t="s">
        <v>73</v>
      </c>
      <c r="H73" s="259" t="s">
        <v>292</v>
      </c>
      <c r="I73" s="259" t="s">
        <v>320</v>
      </c>
      <c r="J73" s="259">
        <v>39.872999999999998</v>
      </c>
      <c r="K73" s="259">
        <v>20.149999999999999</v>
      </c>
      <c r="L73" s="259">
        <v>26.177</v>
      </c>
      <c r="M73" s="259">
        <v>30.164000000000001</v>
      </c>
      <c r="N73" s="259">
        <v>33.987000000000002</v>
      </c>
      <c r="O73" s="259">
        <v>35.200000000000003</v>
      </c>
      <c r="P73" s="259">
        <v>38.935000000000002</v>
      </c>
      <c r="Q73" s="259">
        <v>42.642000000000003</v>
      </c>
      <c r="R73" s="259">
        <v>-0.69799999999999995</v>
      </c>
      <c r="S73" s="259">
        <v>-0.70099999999999996</v>
      </c>
      <c r="T73" s="259">
        <v>-0.70199999999999996</v>
      </c>
      <c r="U73" s="259">
        <v>-0.70299999999999996</v>
      </c>
      <c r="V73" s="259">
        <v>-0.70299999999999996</v>
      </c>
      <c r="W73" s="259">
        <v>-0.70399999999999996</v>
      </c>
      <c r="X73" s="259">
        <v>-0.70499999999999996</v>
      </c>
      <c r="Y73" s="259">
        <v>23.164999999999999</v>
      </c>
      <c r="Z73" s="259">
        <v>30.672999999999998</v>
      </c>
      <c r="AA73" s="259">
        <v>35.643000000000001</v>
      </c>
      <c r="AB73" s="259">
        <v>40.408999999999999</v>
      </c>
      <c r="AC73" s="259">
        <v>41.920999999999999</v>
      </c>
      <c r="AD73" s="259">
        <v>46.578000000000003</v>
      </c>
      <c r="AE73" s="259">
        <v>51.2</v>
      </c>
      <c r="AF73" s="259">
        <v>-0.76700000000000002</v>
      </c>
      <c r="AG73" s="259">
        <v>-0.77900000000000003</v>
      </c>
      <c r="AH73" s="259">
        <v>-0.78400000000000003</v>
      </c>
      <c r="AI73" s="259">
        <v>-0.78800000000000003</v>
      </c>
      <c r="AJ73" s="259">
        <v>-0.78900000000000003</v>
      </c>
      <c r="AK73" s="259">
        <v>-0.79200000000000004</v>
      </c>
      <c r="AL73" s="259">
        <v>-0.79400000000000004</v>
      </c>
      <c r="AM73" s="259">
        <v>7.0999999999999994E-2</v>
      </c>
      <c r="AN73" s="259">
        <v>8.1000000000000003E-2</v>
      </c>
      <c r="AO73" s="259">
        <v>8.5999999999999993E-2</v>
      </c>
      <c r="AP73" s="259">
        <v>8.8999999999999996E-2</v>
      </c>
      <c r="AQ73" s="259">
        <v>0.09</v>
      </c>
      <c r="AR73" s="259">
        <v>9.2999999999999999E-2</v>
      </c>
      <c r="AS73" s="259">
        <v>9.5000000000000001E-2</v>
      </c>
    </row>
    <row r="74" spans="1:45" s="259" customFormat="1">
      <c r="A74" s="259" t="s">
        <v>187</v>
      </c>
      <c r="B74" s="259" t="s">
        <v>188</v>
      </c>
      <c r="C74" s="262">
        <v>45.550100000100002</v>
      </c>
      <c r="D74" s="262">
        <v>-75.549899999899992</v>
      </c>
      <c r="E74" s="263">
        <f>IF(OR(C74="",D74=""),"",ACOS((SIN(RADIANS(C74)) * SIN(RADIANS('Hydrologie-Méthode rationnelle'!$C$22))) + (COS(RADIANS(C74)) * COS(RADIANS('Hydrologie-Méthode rationnelle'!$C$22))) * (COS(RADIANS(D74) - RADIANS('Hydrologie-Méthode rationnelle'!$C$23)))) * 6371)</f>
        <v>8888.4854196601773</v>
      </c>
      <c r="F74" s="259">
        <v>91</v>
      </c>
      <c r="G74" s="259" t="s">
        <v>157</v>
      </c>
      <c r="H74" s="259" t="s">
        <v>55</v>
      </c>
      <c r="I74" s="259" t="s">
        <v>305</v>
      </c>
      <c r="J74" s="259">
        <v>39.997999999999998</v>
      </c>
      <c r="K74" s="259">
        <v>18.940999999999999</v>
      </c>
      <c r="L74" s="259">
        <v>24.952999999999999</v>
      </c>
      <c r="M74" s="259">
        <v>28.923999999999999</v>
      </c>
      <c r="N74" s="259">
        <v>32.728999999999999</v>
      </c>
      <c r="O74" s="259">
        <v>33.936</v>
      </c>
      <c r="P74" s="259">
        <v>37.651000000000003</v>
      </c>
      <c r="Q74" s="259">
        <v>41.337000000000003</v>
      </c>
      <c r="R74" s="259">
        <v>-0.65900000000000003</v>
      </c>
      <c r="S74" s="259">
        <v>-0.65100000000000002</v>
      </c>
      <c r="T74" s="259">
        <v>-0.64700000000000002</v>
      </c>
      <c r="U74" s="259">
        <v>-0.64500000000000002</v>
      </c>
      <c r="V74" s="259">
        <v>-0.64400000000000002</v>
      </c>
      <c r="W74" s="259">
        <v>-0.64200000000000002</v>
      </c>
      <c r="X74" s="259">
        <v>-0.64100000000000001</v>
      </c>
      <c r="Y74" s="259">
        <v>23.777999999999999</v>
      </c>
      <c r="Z74" s="259">
        <v>30.082000000000001</v>
      </c>
      <c r="AA74" s="259">
        <v>34.265999999999998</v>
      </c>
      <c r="AB74" s="259">
        <v>38.284999999999997</v>
      </c>
      <c r="AC74" s="259">
        <v>39.561</v>
      </c>
      <c r="AD74" s="259">
        <v>43.493000000000002</v>
      </c>
      <c r="AE74" s="259">
        <v>47.399000000000001</v>
      </c>
      <c r="AF74" s="259">
        <v>-0.76900000000000002</v>
      </c>
      <c r="AG74" s="259">
        <v>-0.74199999999999999</v>
      </c>
      <c r="AH74" s="259">
        <v>-0.73</v>
      </c>
      <c r="AI74" s="259">
        <v>-0.72199999999999998</v>
      </c>
      <c r="AJ74" s="259">
        <v>-0.72</v>
      </c>
      <c r="AK74" s="259">
        <v>-0.71299999999999997</v>
      </c>
      <c r="AL74" s="259">
        <v>-0.70799999999999996</v>
      </c>
      <c r="AM74" s="259">
        <v>0.13100000000000001</v>
      </c>
      <c r="AN74" s="259">
        <v>0.106</v>
      </c>
      <c r="AO74" s="259">
        <v>9.6000000000000002E-2</v>
      </c>
      <c r="AP74" s="259">
        <v>8.7999999999999995E-2</v>
      </c>
      <c r="AQ74" s="259">
        <v>8.5999999999999993E-2</v>
      </c>
      <c r="AR74" s="259">
        <v>8.1000000000000003E-2</v>
      </c>
      <c r="AS74" s="259">
        <v>7.5999999999999998E-2</v>
      </c>
    </row>
    <row r="75" spans="1:45" s="259" customFormat="1">
      <c r="A75" s="259" t="s">
        <v>386</v>
      </c>
      <c r="B75" s="259" t="s">
        <v>189</v>
      </c>
      <c r="C75" s="262">
        <v>46.716766666766674</v>
      </c>
      <c r="D75" s="262">
        <v>-75.966566666566663</v>
      </c>
      <c r="E75" s="263">
        <f>IF(OR(C75="",D75=""),"",ACOS((SIN(RADIANS(C75)) * SIN(RADIANS('Hydrologie-Méthode rationnelle'!$C$22))) + (COS(RADIANS(C75)) * COS(RADIANS('Hydrologie-Méthode rationnelle'!$C$22))) * (COS(RADIANS(D75) - RADIANS('Hydrologie-Méthode rationnelle'!$C$23)))) * 6371)</f>
        <v>8943.416719113713</v>
      </c>
      <c r="F75" s="259">
        <v>236</v>
      </c>
      <c r="G75" s="259" t="s">
        <v>64</v>
      </c>
      <c r="H75" s="259" t="s">
        <v>126</v>
      </c>
      <c r="I75" s="259" t="s">
        <v>302</v>
      </c>
      <c r="J75" s="259">
        <v>36.746000000000002</v>
      </c>
      <c r="K75" s="259">
        <v>20.271000000000001</v>
      </c>
      <c r="L75" s="259">
        <v>26.253</v>
      </c>
      <c r="M75" s="259">
        <v>30.202000000000002</v>
      </c>
      <c r="N75" s="259">
        <v>33.984000000000002</v>
      </c>
      <c r="O75" s="259">
        <v>35.183</v>
      </c>
      <c r="P75" s="259">
        <v>38.874000000000002</v>
      </c>
      <c r="Q75" s="259">
        <v>42.534999999999997</v>
      </c>
      <c r="R75" s="259">
        <v>-0.72</v>
      </c>
      <c r="S75" s="259">
        <v>-0.73599999999999999</v>
      </c>
      <c r="T75" s="259">
        <v>-0.74299999999999999</v>
      </c>
      <c r="U75" s="259">
        <v>-0.748</v>
      </c>
      <c r="V75" s="259">
        <v>-0.749</v>
      </c>
      <c r="W75" s="259">
        <v>-0.753</v>
      </c>
      <c r="X75" s="259">
        <v>-0.75600000000000001</v>
      </c>
      <c r="Y75" s="259">
        <v>22.611000000000001</v>
      </c>
      <c r="Z75" s="259">
        <v>29.494</v>
      </c>
      <c r="AA75" s="259">
        <v>34.034999999999997</v>
      </c>
      <c r="AB75" s="259">
        <v>38.383000000000003</v>
      </c>
      <c r="AC75" s="259">
        <v>39.761000000000003</v>
      </c>
      <c r="AD75" s="259">
        <v>44.003999999999998</v>
      </c>
      <c r="AE75" s="259">
        <v>48.213000000000001</v>
      </c>
      <c r="AF75" s="259">
        <v>-0.77500000000000002</v>
      </c>
      <c r="AG75" s="259">
        <v>-0.79400000000000004</v>
      </c>
      <c r="AH75" s="259">
        <v>-0.80200000000000005</v>
      </c>
      <c r="AI75" s="259">
        <v>-0.80900000000000005</v>
      </c>
      <c r="AJ75" s="259">
        <v>-0.81</v>
      </c>
      <c r="AK75" s="259">
        <v>-0.81499999999999995</v>
      </c>
      <c r="AL75" s="259">
        <v>-0.81899999999999995</v>
      </c>
      <c r="AM75" s="259">
        <v>5.1999999999999998E-2</v>
      </c>
      <c r="AN75" s="259">
        <v>5.5E-2</v>
      </c>
      <c r="AO75" s="259">
        <v>5.6000000000000001E-2</v>
      </c>
      <c r="AP75" s="259">
        <v>5.7000000000000002E-2</v>
      </c>
      <c r="AQ75" s="259">
        <v>5.7000000000000002E-2</v>
      </c>
      <c r="AR75" s="259">
        <v>5.7000000000000002E-2</v>
      </c>
      <c r="AS75" s="259">
        <v>5.8000000000000003E-2</v>
      </c>
    </row>
    <row r="76" spans="1:45" s="259" customFormat="1">
      <c r="A76" s="259" t="s">
        <v>190</v>
      </c>
      <c r="B76" s="259" t="s">
        <v>191</v>
      </c>
      <c r="C76" s="262">
        <v>45.900100000100004</v>
      </c>
      <c r="D76" s="262">
        <v>-75.066566666566658</v>
      </c>
      <c r="E76" s="263">
        <f>IF(OR(C76="",D76=""),"",ACOS((SIN(RADIANS(C76)) * SIN(RADIANS('Hydrologie-Méthode rationnelle'!$C$22))) + (COS(RADIANS(C76)) * COS(RADIANS('Hydrologie-Méthode rationnelle'!$C$22))) * (COS(RADIANS(D76) - RADIANS('Hydrologie-Méthode rationnelle'!$C$23)))) * 6371)</f>
        <v>8858.7915121421865</v>
      </c>
      <c r="F76" s="259">
        <v>222</v>
      </c>
      <c r="G76" s="259" t="s">
        <v>50</v>
      </c>
      <c r="H76" s="259" t="s">
        <v>55</v>
      </c>
      <c r="I76" s="259" t="s">
        <v>309</v>
      </c>
      <c r="J76" s="259">
        <v>39.148000000000003</v>
      </c>
      <c r="K76" s="259">
        <v>19.172000000000001</v>
      </c>
      <c r="L76" s="259">
        <v>25.19</v>
      </c>
      <c r="M76" s="259">
        <v>29.172000000000001</v>
      </c>
      <c r="N76" s="259">
        <v>32.991</v>
      </c>
      <c r="O76" s="259">
        <v>34.201999999999998</v>
      </c>
      <c r="P76" s="259">
        <v>37.933</v>
      </c>
      <c r="Q76" s="259">
        <v>41.634999999999998</v>
      </c>
      <c r="R76" s="259">
        <v>-0.66800000000000004</v>
      </c>
      <c r="S76" s="259">
        <v>-0.66400000000000003</v>
      </c>
      <c r="T76" s="259">
        <v>-0.66300000000000003</v>
      </c>
      <c r="U76" s="259">
        <v>-0.66200000000000003</v>
      </c>
      <c r="V76" s="259">
        <v>-0.66100000000000003</v>
      </c>
      <c r="W76" s="259">
        <v>-0.66</v>
      </c>
      <c r="X76" s="259">
        <v>-0.66</v>
      </c>
      <c r="Y76" s="259">
        <v>23.687000000000001</v>
      </c>
      <c r="Z76" s="259">
        <v>31.248999999999999</v>
      </c>
      <c r="AA76" s="259">
        <v>36.253999999999998</v>
      </c>
      <c r="AB76" s="259">
        <v>41.055</v>
      </c>
      <c r="AC76" s="259">
        <v>42.578000000000003</v>
      </c>
      <c r="AD76" s="259">
        <v>47.268999999999998</v>
      </c>
      <c r="AE76" s="259">
        <v>51.924999999999997</v>
      </c>
      <c r="AF76" s="259">
        <v>-0.77</v>
      </c>
      <c r="AG76" s="259">
        <v>-0.76900000000000002</v>
      </c>
      <c r="AH76" s="259">
        <v>-0.76800000000000002</v>
      </c>
      <c r="AI76" s="259">
        <v>-0.76700000000000002</v>
      </c>
      <c r="AJ76" s="259">
        <v>-0.76700000000000002</v>
      </c>
      <c r="AK76" s="259">
        <v>-0.76700000000000002</v>
      </c>
      <c r="AL76" s="259">
        <v>-0.76600000000000001</v>
      </c>
      <c r="AM76" s="259">
        <v>0.11899999999999999</v>
      </c>
      <c r="AN76" s="259">
        <v>0.122</v>
      </c>
      <c r="AO76" s="259">
        <v>0.124</v>
      </c>
      <c r="AP76" s="259">
        <v>0.125</v>
      </c>
      <c r="AQ76" s="259">
        <v>0.125</v>
      </c>
      <c r="AR76" s="259">
        <v>0.126</v>
      </c>
      <c r="AS76" s="259">
        <v>0.127</v>
      </c>
    </row>
    <row r="77" spans="1:45" s="259" customFormat="1">
      <c r="A77" s="259" t="s">
        <v>387</v>
      </c>
      <c r="B77" s="259" t="s">
        <v>192</v>
      </c>
      <c r="C77" s="262">
        <v>46.300100000100002</v>
      </c>
      <c r="D77" s="262">
        <v>-75.999899999899995</v>
      </c>
      <c r="E77" s="263">
        <f>IF(OR(C77="",D77=""),"",ACOS((SIN(RADIANS(C77)) * SIN(RADIANS('Hydrologie-Méthode rationnelle'!$C$22))) + (COS(RADIANS(C77)) * COS(RADIANS('Hydrologie-Méthode rationnelle'!$C$22))) * (COS(RADIANS(D77) - RADIANS('Hydrologie-Méthode rationnelle'!$C$23)))) * 6371)</f>
        <v>8937.6702875705378</v>
      </c>
      <c r="F77" s="259">
        <v>188</v>
      </c>
      <c r="G77" s="259" t="s">
        <v>133</v>
      </c>
      <c r="H77" s="259" t="s">
        <v>181</v>
      </c>
      <c r="I77" s="259" t="s">
        <v>316</v>
      </c>
      <c r="J77" s="259">
        <v>39.037999999999997</v>
      </c>
      <c r="K77" s="259">
        <v>19.245999999999999</v>
      </c>
      <c r="L77" s="259">
        <v>25.398</v>
      </c>
      <c r="M77" s="259">
        <v>29.471</v>
      </c>
      <c r="N77" s="259">
        <v>33.375999999999998</v>
      </c>
      <c r="O77" s="259">
        <v>34.615000000000002</v>
      </c>
      <c r="P77" s="259">
        <v>38.430999999999997</v>
      </c>
      <c r="Q77" s="259">
        <v>42.219000000000001</v>
      </c>
      <c r="R77" s="259">
        <v>-0.68799999999999994</v>
      </c>
      <c r="S77" s="259">
        <v>-0.69299999999999995</v>
      </c>
      <c r="T77" s="259">
        <v>-0.69499999999999995</v>
      </c>
      <c r="U77" s="259">
        <v>-0.69699999999999995</v>
      </c>
      <c r="V77" s="259">
        <v>-0.69699999999999995</v>
      </c>
      <c r="W77" s="259">
        <v>-0.69899999999999995</v>
      </c>
      <c r="X77" s="259">
        <v>-0.7</v>
      </c>
      <c r="Y77" s="259">
        <v>22.677</v>
      </c>
      <c r="Z77" s="259">
        <v>30.207999999999998</v>
      </c>
      <c r="AA77" s="259">
        <v>35.197000000000003</v>
      </c>
      <c r="AB77" s="259">
        <v>39.984000000000002</v>
      </c>
      <c r="AC77" s="259">
        <v>41.503</v>
      </c>
      <c r="AD77" s="259">
        <v>46.182000000000002</v>
      </c>
      <c r="AE77" s="259">
        <v>50.828000000000003</v>
      </c>
      <c r="AF77" s="259">
        <v>-0.76800000000000002</v>
      </c>
      <c r="AG77" s="259">
        <v>-0.77800000000000002</v>
      </c>
      <c r="AH77" s="259">
        <v>-0.78200000000000003</v>
      </c>
      <c r="AI77" s="259">
        <v>-0.78500000000000003</v>
      </c>
      <c r="AJ77" s="259">
        <v>-0.78600000000000003</v>
      </c>
      <c r="AK77" s="259">
        <v>-0.78900000000000003</v>
      </c>
      <c r="AL77" s="259">
        <v>-0.79100000000000004</v>
      </c>
      <c r="AM77" s="259">
        <v>8.5999999999999993E-2</v>
      </c>
      <c r="AN77" s="259">
        <v>9.0999999999999998E-2</v>
      </c>
      <c r="AO77" s="259">
        <v>9.2999999999999999E-2</v>
      </c>
      <c r="AP77" s="259">
        <v>9.5000000000000001E-2</v>
      </c>
      <c r="AQ77" s="259">
        <v>9.5000000000000001E-2</v>
      </c>
      <c r="AR77" s="259">
        <v>9.6000000000000002E-2</v>
      </c>
      <c r="AS77" s="259">
        <v>9.7000000000000003E-2</v>
      </c>
    </row>
    <row r="78" spans="1:45" s="259" customFormat="1">
      <c r="A78" s="259" t="s">
        <v>388</v>
      </c>
      <c r="B78" s="259" t="s">
        <v>193</v>
      </c>
      <c r="C78" s="262">
        <v>45.666766666766662</v>
      </c>
      <c r="D78" s="262">
        <v>-74.016566666566661</v>
      </c>
      <c r="E78" s="263">
        <f>IF(OR(C78="",D78=""),"",ACOS((SIN(RADIANS(C78)) * SIN(RADIANS('Hydrologie-Méthode rationnelle'!$C$22))) + (COS(RADIANS(C78)) * COS(RADIANS('Hydrologie-Méthode rationnelle'!$C$22))) * (COS(RADIANS(D78) - RADIANS('Hydrologie-Méthode rationnelle'!$C$23)))) * 6371)</f>
        <v>8773.8800966656872</v>
      </c>
      <c r="F78" s="259">
        <v>82</v>
      </c>
      <c r="G78" s="259" t="s">
        <v>155</v>
      </c>
      <c r="H78" s="259" t="s">
        <v>194</v>
      </c>
      <c r="I78" s="259" t="s">
        <v>294</v>
      </c>
      <c r="J78" s="259">
        <v>38.186999999999998</v>
      </c>
      <c r="K78" s="259">
        <v>19.475999999999999</v>
      </c>
      <c r="L78" s="259">
        <v>25.245999999999999</v>
      </c>
      <c r="M78" s="259">
        <v>29.065000000000001</v>
      </c>
      <c r="N78" s="259">
        <v>32.728000000000002</v>
      </c>
      <c r="O78" s="259">
        <v>33.89</v>
      </c>
      <c r="P78" s="259">
        <v>37.47</v>
      </c>
      <c r="Q78" s="259">
        <v>41.021999999999998</v>
      </c>
      <c r="R78" s="259">
        <v>-0.63200000000000001</v>
      </c>
      <c r="S78" s="259">
        <v>-0.63500000000000001</v>
      </c>
      <c r="T78" s="259">
        <v>-0.63600000000000001</v>
      </c>
      <c r="U78" s="259">
        <v>-0.63600000000000001</v>
      </c>
      <c r="V78" s="259">
        <v>-0.63600000000000001</v>
      </c>
      <c r="W78" s="259">
        <v>-0.63700000000000001</v>
      </c>
      <c r="X78" s="259">
        <v>-0.63700000000000001</v>
      </c>
      <c r="Y78" s="259">
        <v>23.667999999999999</v>
      </c>
      <c r="Z78" s="259">
        <v>30.646999999999998</v>
      </c>
      <c r="AA78" s="259">
        <v>35.265999999999998</v>
      </c>
      <c r="AB78" s="259">
        <v>39.695999999999998</v>
      </c>
      <c r="AC78" s="259">
        <v>41.100999999999999</v>
      </c>
      <c r="AD78" s="259">
        <v>45.43</v>
      </c>
      <c r="AE78" s="259">
        <v>49.725999999999999</v>
      </c>
      <c r="AF78" s="259">
        <v>-0.72699999999999998</v>
      </c>
      <c r="AG78" s="259">
        <v>-0.72899999999999998</v>
      </c>
      <c r="AH78" s="259">
        <v>-0.72899999999999998</v>
      </c>
      <c r="AI78" s="259">
        <v>-0.73</v>
      </c>
      <c r="AJ78" s="259">
        <v>-0.73</v>
      </c>
      <c r="AK78" s="259">
        <v>-0.73099999999999998</v>
      </c>
      <c r="AL78" s="259">
        <v>-0.73099999999999998</v>
      </c>
      <c r="AM78" s="259">
        <v>0.115</v>
      </c>
      <c r="AN78" s="259">
        <v>0.114</v>
      </c>
      <c r="AO78" s="259">
        <v>0.114</v>
      </c>
      <c r="AP78" s="259">
        <v>0.113</v>
      </c>
      <c r="AQ78" s="259">
        <v>0.113</v>
      </c>
      <c r="AR78" s="259">
        <v>0.113</v>
      </c>
      <c r="AS78" s="259">
        <v>0.113</v>
      </c>
    </row>
    <row r="79" spans="1:45" s="259" customFormat="1">
      <c r="A79" s="259" t="s">
        <v>195</v>
      </c>
      <c r="B79" s="259" t="s">
        <v>196</v>
      </c>
      <c r="C79" s="262">
        <v>46.400100000100004</v>
      </c>
      <c r="D79" s="262">
        <v>-75.066566666566658</v>
      </c>
      <c r="E79" s="263">
        <f>IF(OR(C79="",D79=""),"",ACOS((SIN(RADIANS(C79)) * SIN(RADIANS('Hydrologie-Méthode rationnelle'!$C$22))) + (COS(RADIANS(C79)) * COS(RADIANS('Hydrologie-Méthode rationnelle'!$C$22))) * (COS(RADIANS(D79) - RADIANS('Hydrologie-Méthode rationnelle'!$C$23)))) * 6371)</f>
        <v>8869.2923903970568</v>
      </c>
      <c r="F79" s="259">
        <v>274</v>
      </c>
      <c r="G79" s="259" t="s">
        <v>61</v>
      </c>
      <c r="H79" s="259" t="s">
        <v>55</v>
      </c>
      <c r="I79" s="259" t="s">
        <v>298</v>
      </c>
      <c r="J79" s="259">
        <v>48.890999999999998</v>
      </c>
      <c r="K79" s="259">
        <v>20.053999999999998</v>
      </c>
      <c r="L79" s="259">
        <v>28.303999999999998</v>
      </c>
      <c r="M79" s="259">
        <v>33.744999999999997</v>
      </c>
      <c r="N79" s="259">
        <v>38.954999999999998</v>
      </c>
      <c r="O79" s="259">
        <v>40.606000000000002</v>
      </c>
      <c r="P79" s="259">
        <v>45.691000000000003</v>
      </c>
      <c r="Q79" s="259">
        <v>50.734000000000002</v>
      </c>
      <c r="R79" s="259">
        <v>-0.69499999999999995</v>
      </c>
      <c r="S79" s="259">
        <v>-0.71799999999999997</v>
      </c>
      <c r="T79" s="259">
        <v>-0.72699999999999998</v>
      </c>
      <c r="U79" s="259">
        <v>-0.73299999999999998</v>
      </c>
      <c r="V79" s="259">
        <v>-0.73499999999999999</v>
      </c>
      <c r="W79" s="259">
        <v>-0.74</v>
      </c>
      <c r="X79" s="259">
        <v>-0.74299999999999999</v>
      </c>
      <c r="Y79" s="259">
        <v>23.969000000000001</v>
      </c>
      <c r="Z79" s="259">
        <v>35.527000000000001</v>
      </c>
      <c r="AA79" s="259">
        <v>43.238999999999997</v>
      </c>
      <c r="AB79" s="259">
        <v>50.661000000000001</v>
      </c>
      <c r="AC79" s="259">
        <v>53.018999999999998</v>
      </c>
      <c r="AD79" s="259">
        <v>60.292000000000002</v>
      </c>
      <c r="AE79" s="259">
        <v>67.521000000000001</v>
      </c>
      <c r="AF79" s="259">
        <v>-0.78300000000000003</v>
      </c>
      <c r="AG79" s="259">
        <v>-0.82799999999999996</v>
      </c>
      <c r="AH79" s="259">
        <v>-0.84699999999999998</v>
      </c>
      <c r="AI79" s="259">
        <v>-0.86</v>
      </c>
      <c r="AJ79" s="259">
        <v>-0.86399999999999999</v>
      </c>
      <c r="AK79" s="259">
        <v>-0.873</v>
      </c>
      <c r="AL79" s="259">
        <v>-0.88100000000000001</v>
      </c>
      <c r="AM79" s="259">
        <v>9.4E-2</v>
      </c>
      <c r="AN79" s="259">
        <v>0.11899999999999999</v>
      </c>
      <c r="AO79" s="259">
        <v>0.129</v>
      </c>
      <c r="AP79" s="259">
        <v>0.13700000000000001</v>
      </c>
      <c r="AQ79" s="259">
        <v>0.13900000000000001</v>
      </c>
      <c r="AR79" s="259">
        <v>0.14399999999999999</v>
      </c>
      <c r="AS79" s="259">
        <v>0.14899999999999999</v>
      </c>
    </row>
    <row r="80" spans="1:45" s="259" customFormat="1">
      <c r="A80" s="259" t="s">
        <v>389</v>
      </c>
      <c r="B80" s="259" t="s">
        <v>197</v>
      </c>
      <c r="C80" s="262">
        <v>46.050100000100002</v>
      </c>
      <c r="D80" s="262">
        <v>-74.266566666566661</v>
      </c>
      <c r="E80" s="263">
        <f>IF(OR(C80="",D80=""),"",ACOS((SIN(RADIANS(C80)) * SIN(RADIANS('Hydrologie-Méthode rationnelle'!$C$22))) + (COS(RADIANS(C80)) * COS(RADIANS('Hydrologie-Méthode rationnelle'!$C$22))) * (COS(RADIANS(D80) - RADIANS('Hydrologie-Méthode rationnelle'!$C$23)))) * 6371)</f>
        <v>8801.3640288624501</v>
      </c>
      <c r="F80" s="259">
        <v>394</v>
      </c>
      <c r="G80" s="259" t="s">
        <v>76</v>
      </c>
      <c r="H80" s="259" t="s">
        <v>181</v>
      </c>
      <c r="I80" s="259" t="s">
        <v>316</v>
      </c>
      <c r="J80" s="259">
        <v>40.078000000000003</v>
      </c>
      <c r="K80" s="259">
        <v>20.091999999999999</v>
      </c>
      <c r="L80" s="259">
        <v>26.238</v>
      </c>
      <c r="M80" s="259">
        <v>30.303999999999998</v>
      </c>
      <c r="N80" s="259">
        <v>34.201000000000001</v>
      </c>
      <c r="O80" s="259">
        <v>35.436999999999998</v>
      </c>
      <c r="P80" s="259">
        <v>39.244999999999997</v>
      </c>
      <c r="Q80" s="259">
        <v>43.023000000000003</v>
      </c>
      <c r="R80" s="259">
        <v>-0.66700000000000004</v>
      </c>
      <c r="S80" s="259">
        <v>-0.67600000000000005</v>
      </c>
      <c r="T80" s="259">
        <v>-0.68</v>
      </c>
      <c r="U80" s="259">
        <v>-0.68300000000000005</v>
      </c>
      <c r="V80" s="259">
        <v>-0.68400000000000005</v>
      </c>
      <c r="W80" s="259">
        <v>-0.68600000000000005</v>
      </c>
      <c r="X80" s="259">
        <v>-0.68799999999999994</v>
      </c>
      <c r="Y80" s="259">
        <v>24.088999999999999</v>
      </c>
      <c r="Z80" s="259">
        <v>31.818999999999999</v>
      </c>
      <c r="AA80" s="259">
        <v>36.938000000000002</v>
      </c>
      <c r="AB80" s="259">
        <v>41.848999999999997</v>
      </c>
      <c r="AC80" s="259">
        <v>43.406999999999996</v>
      </c>
      <c r="AD80" s="259">
        <v>48.206000000000003</v>
      </c>
      <c r="AE80" s="259">
        <v>52.970999999999997</v>
      </c>
      <c r="AF80" s="259">
        <v>-0.75600000000000001</v>
      </c>
      <c r="AG80" s="259">
        <v>-0.77</v>
      </c>
      <c r="AH80" s="259">
        <v>-0.77700000000000002</v>
      </c>
      <c r="AI80" s="259">
        <v>-0.78100000000000003</v>
      </c>
      <c r="AJ80" s="259">
        <v>-0.78300000000000003</v>
      </c>
      <c r="AK80" s="259">
        <v>-0.78600000000000003</v>
      </c>
      <c r="AL80" s="259">
        <v>-0.78900000000000003</v>
      </c>
      <c r="AM80" s="259">
        <v>0.1</v>
      </c>
      <c r="AN80" s="259">
        <v>0.105</v>
      </c>
      <c r="AO80" s="259">
        <v>0.108</v>
      </c>
      <c r="AP80" s="259">
        <v>0.11</v>
      </c>
      <c r="AQ80" s="259">
        <v>0.11</v>
      </c>
      <c r="AR80" s="259">
        <v>0.112</v>
      </c>
      <c r="AS80" s="259">
        <v>0.113</v>
      </c>
    </row>
    <row r="81" spans="1:45" s="259" customFormat="1">
      <c r="A81" s="259" t="s">
        <v>390</v>
      </c>
      <c r="B81" s="259" t="s">
        <v>198</v>
      </c>
      <c r="C81" s="262">
        <v>45.800100000100002</v>
      </c>
      <c r="D81" s="262">
        <v>-74.049899999899992</v>
      </c>
      <c r="E81" s="263">
        <f>IF(OR(C81="",D81=""),"",ACOS((SIN(RADIANS(C81)) * SIN(RADIANS('Hydrologie-Méthode rationnelle'!$C$22))) + (COS(RADIANS(C81)) * COS(RADIANS('Hydrologie-Méthode rationnelle'!$C$22))) * (COS(RADIANS(D81) - RADIANS('Hydrologie-Méthode rationnelle'!$C$23)))) * 6371)</f>
        <v>8779.3904310139242</v>
      </c>
      <c r="F81" s="259">
        <v>169</v>
      </c>
      <c r="G81" s="259" t="s">
        <v>61</v>
      </c>
      <c r="H81" s="259" t="s">
        <v>55</v>
      </c>
      <c r="I81" s="259" t="s">
        <v>298</v>
      </c>
      <c r="J81" s="259">
        <v>38.74</v>
      </c>
      <c r="K81" s="259">
        <v>18.692</v>
      </c>
      <c r="L81" s="259">
        <v>25.573</v>
      </c>
      <c r="M81" s="259">
        <v>30.119</v>
      </c>
      <c r="N81" s="259">
        <v>34.476999999999997</v>
      </c>
      <c r="O81" s="259">
        <v>35.857999999999997</v>
      </c>
      <c r="P81" s="259">
        <v>40.113</v>
      </c>
      <c r="Q81" s="259">
        <v>44.335000000000001</v>
      </c>
      <c r="R81" s="259">
        <v>-0.67</v>
      </c>
      <c r="S81" s="259">
        <v>-0.68400000000000005</v>
      </c>
      <c r="T81" s="259">
        <v>-0.68899999999999995</v>
      </c>
      <c r="U81" s="259">
        <v>-0.69299999999999995</v>
      </c>
      <c r="V81" s="259">
        <v>-0.69399999999999995</v>
      </c>
      <c r="W81" s="259">
        <v>-0.69699999999999995</v>
      </c>
      <c r="X81" s="259">
        <v>-0.7</v>
      </c>
      <c r="Y81" s="259">
        <v>21.812999999999999</v>
      </c>
      <c r="Z81" s="259">
        <v>30.727</v>
      </c>
      <c r="AA81" s="259">
        <v>36.643999999999998</v>
      </c>
      <c r="AB81" s="259">
        <v>42.328000000000003</v>
      </c>
      <c r="AC81" s="259">
        <v>44.131</v>
      </c>
      <c r="AD81" s="259">
        <v>49.691000000000003</v>
      </c>
      <c r="AE81" s="259">
        <v>55.213000000000001</v>
      </c>
      <c r="AF81" s="259">
        <v>-0.746</v>
      </c>
      <c r="AG81" s="259">
        <v>-0.77300000000000002</v>
      </c>
      <c r="AH81" s="259">
        <v>-0.78500000000000003</v>
      </c>
      <c r="AI81" s="259">
        <v>-0.79300000000000004</v>
      </c>
      <c r="AJ81" s="259">
        <v>-0.79600000000000004</v>
      </c>
      <c r="AK81" s="259">
        <v>-0.80100000000000005</v>
      </c>
      <c r="AL81" s="259">
        <v>-0.80600000000000005</v>
      </c>
      <c r="AM81" s="259">
        <v>8.3000000000000004E-2</v>
      </c>
      <c r="AN81" s="259">
        <v>9.9000000000000005E-2</v>
      </c>
      <c r="AO81" s="259">
        <v>0.105</v>
      </c>
      <c r="AP81" s="259">
        <v>0.11</v>
      </c>
      <c r="AQ81" s="259">
        <v>0.111</v>
      </c>
      <c r="AR81" s="259">
        <v>0.115</v>
      </c>
      <c r="AS81" s="259">
        <v>0.11799999999999999</v>
      </c>
    </row>
    <row r="82" spans="1:45" s="259" customFormat="1">
      <c r="A82" s="259" t="s">
        <v>199</v>
      </c>
      <c r="B82" s="259" t="s">
        <v>200</v>
      </c>
      <c r="C82" s="262">
        <v>45.616766666766672</v>
      </c>
      <c r="D82" s="262">
        <v>-76.466566666566663</v>
      </c>
      <c r="E82" s="263">
        <f>IF(OR(C82="",D82=""),"",ACOS((SIN(RADIANS(C82)) * SIN(RADIANS('Hydrologie-Méthode rationnelle'!$C$22))) + (COS(RADIANS(C82)) * COS(RADIANS('Hydrologie-Méthode rationnelle'!$C$22))) * (COS(RADIANS(D82) - RADIANS('Hydrologie-Méthode rationnelle'!$C$23)))) * 6371)</f>
        <v>8960.0170635835311</v>
      </c>
      <c r="F82" s="259">
        <v>167</v>
      </c>
      <c r="G82" s="259" t="s">
        <v>84</v>
      </c>
      <c r="H82" s="259" t="s">
        <v>55</v>
      </c>
      <c r="I82" s="259" t="s">
        <v>312</v>
      </c>
      <c r="J82" s="259">
        <v>39.677</v>
      </c>
      <c r="K82" s="259">
        <v>17.920999999999999</v>
      </c>
      <c r="L82" s="259">
        <v>23.981999999999999</v>
      </c>
      <c r="M82" s="259">
        <v>27.968</v>
      </c>
      <c r="N82" s="259">
        <v>31.78</v>
      </c>
      <c r="O82" s="259">
        <v>32.987000000000002</v>
      </c>
      <c r="P82" s="259">
        <v>36.701999999999998</v>
      </c>
      <c r="Q82" s="259">
        <v>40.384999999999998</v>
      </c>
      <c r="R82" s="259">
        <v>-0.68100000000000005</v>
      </c>
      <c r="S82" s="259">
        <v>-0.65800000000000003</v>
      </c>
      <c r="T82" s="259">
        <v>-0.64800000000000002</v>
      </c>
      <c r="U82" s="259">
        <v>-0.64</v>
      </c>
      <c r="V82" s="259">
        <v>-0.63800000000000001</v>
      </c>
      <c r="W82" s="259">
        <v>-0.63300000000000001</v>
      </c>
      <c r="X82" s="259">
        <v>-0.629</v>
      </c>
      <c r="Y82" s="259">
        <v>21.202000000000002</v>
      </c>
      <c r="Z82" s="259">
        <v>29.137</v>
      </c>
      <c r="AA82" s="259">
        <v>34.453000000000003</v>
      </c>
      <c r="AB82" s="259">
        <v>39.593000000000004</v>
      </c>
      <c r="AC82" s="259">
        <v>41.231000000000002</v>
      </c>
      <c r="AD82" s="259">
        <v>46.296999999999997</v>
      </c>
      <c r="AE82" s="259">
        <v>51.350999999999999</v>
      </c>
      <c r="AF82" s="259">
        <v>-0.76400000000000001</v>
      </c>
      <c r="AG82" s="259">
        <v>-0.752</v>
      </c>
      <c r="AH82" s="259">
        <v>-0.749</v>
      </c>
      <c r="AI82" s="259">
        <v>-0.746</v>
      </c>
      <c r="AJ82" s="259">
        <v>-0.746</v>
      </c>
      <c r="AK82" s="259">
        <v>-0.745</v>
      </c>
      <c r="AL82" s="259">
        <v>-0.74399999999999999</v>
      </c>
      <c r="AM82" s="259">
        <v>0.09</v>
      </c>
      <c r="AN82" s="259">
        <v>0.11</v>
      </c>
      <c r="AO82" s="259">
        <v>0.121</v>
      </c>
      <c r="AP82" s="259">
        <v>0.13100000000000001</v>
      </c>
      <c r="AQ82" s="259">
        <v>0.13300000000000001</v>
      </c>
      <c r="AR82" s="259">
        <v>0.14099999999999999</v>
      </c>
      <c r="AS82" s="259">
        <v>0.14799999999999999</v>
      </c>
    </row>
    <row r="83" spans="1:45" s="259" customFormat="1">
      <c r="A83" s="259" t="s">
        <v>391</v>
      </c>
      <c r="B83" s="259" t="s">
        <v>201</v>
      </c>
      <c r="C83" s="262">
        <v>49.116766666766672</v>
      </c>
      <c r="D83" s="262">
        <v>-68.199899999899998</v>
      </c>
      <c r="E83" s="263">
        <f>IF(OR(C83="",D83=""),"",ACOS((SIN(RADIANS(C83)) * SIN(RADIANS('Hydrologie-Méthode rationnelle'!$C$22))) + (COS(RADIANS(C83)) * COS(RADIANS('Hydrologie-Méthode rationnelle'!$C$22))) * (COS(RADIANS(D83) - RADIANS('Hydrologie-Méthode rationnelle'!$C$23)))) * 6371)</f>
        <v>8443.2840930337334</v>
      </c>
      <c r="F83" s="259">
        <v>21</v>
      </c>
      <c r="G83" s="259" t="s">
        <v>69</v>
      </c>
      <c r="H83" s="259" t="s">
        <v>202</v>
      </c>
      <c r="I83" s="259" t="s">
        <v>316</v>
      </c>
      <c r="J83" s="259">
        <v>24.757999999999999</v>
      </c>
      <c r="K83" s="259">
        <v>13.599</v>
      </c>
      <c r="L83" s="259">
        <v>17.966999999999999</v>
      </c>
      <c r="M83" s="259">
        <v>20.815999999999999</v>
      </c>
      <c r="N83" s="259">
        <v>23.530999999999999</v>
      </c>
      <c r="O83" s="259">
        <v>24.388999999999999</v>
      </c>
      <c r="P83" s="259">
        <v>27.027000000000001</v>
      </c>
      <c r="Q83" s="259">
        <v>29.637</v>
      </c>
      <c r="R83" s="259">
        <v>-0.58199999999999996</v>
      </c>
      <c r="S83" s="259">
        <v>-0.622</v>
      </c>
      <c r="T83" s="259">
        <v>-0.63900000000000001</v>
      </c>
      <c r="U83" s="259">
        <v>-0.65200000000000002</v>
      </c>
      <c r="V83" s="259">
        <v>-0.65500000000000003</v>
      </c>
      <c r="W83" s="259">
        <v>-0.66500000000000004</v>
      </c>
      <c r="X83" s="259">
        <v>-0.67200000000000004</v>
      </c>
      <c r="Y83" s="259">
        <v>14.542</v>
      </c>
      <c r="Z83" s="259">
        <v>19.327000000000002</v>
      </c>
      <c r="AA83" s="259">
        <v>22.46</v>
      </c>
      <c r="AB83" s="259">
        <v>25.45</v>
      </c>
      <c r="AC83" s="259">
        <v>26.396999999999998</v>
      </c>
      <c r="AD83" s="259">
        <v>29.306000000000001</v>
      </c>
      <c r="AE83" s="259">
        <v>32.186999999999998</v>
      </c>
      <c r="AF83" s="259">
        <v>-0.61499999999999999</v>
      </c>
      <c r="AG83" s="259">
        <v>-0.65800000000000003</v>
      </c>
      <c r="AH83" s="259">
        <v>-0.67700000000000005</v>
      </c>
      <c r="AI83" s="259">
        <v>-0.69099999999999995</v>
      </c>
      <c r="AJ83" s="259">
        <v>-0.69499999999999995</v>
      </c>
      <c r="AK83" s="259">
        <v>-0.70499999999999996</v>
      </c>
      <c r="AL83" s="259">
        <v>-0.71399999999999997</v>
      </c>
      <c r="AM83" s="259">
        <v>3.9E-2</v>
      </c>
      <c r="AN83" s="259">
        <v>0.04</v>
      </c>
      <c r="AO83" s="259">
        <v>0.04</v>
      </c>
      <c r="AP83" s="259">
        <v>4.1000000000000002E-2</v>
      </c>
      <c r="AQ83" s="259">
        <v>4.1000000000000002E-2</v>
      </c>
      <c r="AR83" s="259">
        <v>4.1000000000000002E-2</v>
      </c>
      <c r="AS83" s="259">
        <v>4.2000000000000003E-2</v>
      </c>
    </row>
    <row r="84" spans="1:45" s="259" customFormat="1">
      <c r="A84" s="259" t="s">
        <v>392</v>
      </c>
      <c r="B84" s="259" t="s">
        <v>203</v>
      </c>
      <c r="C84" s="262">
        <v>47.416766666766662</v>
      </c>
      <c r="D84" s="262">
        <v>-70.499899999899995</v>
      </c>
      <c r="E84" s="263">
        <f>IF(OR(C84="",D84=""),"",ACOS((SIN(RADIANS(C84)) * SIN(RADIANS('Hydrologie-Méthode rationnelle'!$C$22))) + (COS(RADIANS(C84)) * COS(RADIANS('Hydrologie-Méthode rationnelle'!$C$22))) * (COS(RADIANS(D84) - RADIANS('Hydrologie-Méthode rationnelle'!$C$23)))) * 6371)</f>
        <v>8555.9671261434432</v>
      </c>
      <c r="F84" s="259">
        <v>32</v>
      </c>
      <c r="G84" s="259" t="s">
        <v>134</v>
      </c>
      <c r="H84" s="259" t="s">
        <v>55</v>
      </c>
      <c r="I84" s="259" t="s">
        <v>311</v>
      </c>
      <c r="J84" s="259">
        <v>26.225000000000001</v>
      </c>
      <c r="K84" s="259">
        <v>15.039</v>
      </c>
      <c r="L84" s="259">
        <v>19.95</v>
      </c>
      <c r="M84" s="259">
        <v>23.198</v>
      </c>
      <c r="N84" s="259">
        <v>26.312999999999999</v>
      </c>
      <c r="O84" s="259">
        <v>27.3</v>
      </c>
      <c r="P84" s="259">
        <v>30.343</v>
      </c>
      <c r="Q84" s="259">
        <v>33.362000000000002</v>
      </c>
      <c r="R84" s="259">
        <v>-0.56000000000000005</v>
      </c>
      <c r="S84" s="259">
        <v>-0.56299999999999994</v>
      </c>
      <c r="T84" s="259">
        <v>-0.56399999999999995</v>
      </c>
      <c r="U84" s="259">
        <v>-0.56499999999999995</v>
      </c>
      <c r="V84" s="259">
        <v>-0.56499999999999995</v>
      </c>
      <c r="W84" s="259">
        <v>-0.56599999999999995</v>
      </c>
      <c r="X84" s="259">
        <v>-0.56599999999999995</v>
      </c>
      <c r="Y84" s="259">
        <v>15.488</v>
      </c>
      <c r="Z84" s="259">
        <v>20.068000000000001</v>
      </c>
      <c r="AA84" s="259">
        <v>23.198</v>
      </c>
      <c r="AB84" s="259">
        <v>26.312999999999999</v>
      </c>
      <c r="AC84" s="259">
        <v>27.3</v>
      </c>
      <c r="AD84" s="259">
        <v>30.343</v>
      </c>
      <c r="AE84" s="259">
        <v>33.362000000000002</v>
      </c>
      <c r="AF84" s="259">
        <v>-0.57499999999999996</v>
      </c>
      <c r="AG84" s="259">
        <v>-0.56599999999999995</v>
      </c>
      <c r="AH84" s="259">
        <v>-0.56399999999999995</v>
      </c>
      <c r="AI84" s="259">
        <v>-0.56499999999999995</v>
      </c>
      <c r="AJ84" s="259">
        <v>-0.56499999999999995</v>
      </c>
      <c r="AK84" s="259">
        <v>-0.56599999999999995</v>
      </c>
      <c r="AL84" s="259">
        <v>-0.56599999999999995</v>
      </c>
      <c r="AM84" s="259">
        <v>1.7000000000000001E-2</v>
      </c>
      <c r="AN84" s="259">
        <v>3.0000000000000001E-3</v>
      </c>
      <c r="AO84" s="259">
        <v>0</v>
      </c>
      <c r="AP84" s="259">
        <v>0</v>
      </c>
      <c r="AQ84" s="259">
        <v>0</v>
      </c>
      <c r="AR84" s="259">
        <v>0</v>
      </c>
      <c r="AS84" s="259">
        <v>0</v>
      </c>
    </row>
    <row r="85" spans="1:45" s="259" customFormat="1">
      <c r="A85" s="259" t="s">
        <v>393</v>
      </c>
      <c r="B85" s="259" t="s">
        <v>204</v>
      </c>
      <c r="C85" s="262">
        <v>51.450100000100008</v>
      </c>
      <c r="D85" s="262">
        <v>-57.166566666566652</v>
      </c>
      <c r="E85" s="263">
        <f>IF(OR(C85="",D85=""),"",ACOS((SIN(RADIANS(C85)) * SIN(RADIANS('Hydrologie-Méthode rationnelle'!$C$22))) + (COS(RADIANS(C85)) * COS(RADIANS('Hydrologie-Méthode rationnelle'!$C$22))) * (COS(RADIANS(D85) - RADIANS('Hydrologie-Méthode rationnelle'!$C$23)))) * 6371)</f>
        <v>7811.5838601087562</v>
      </c>
      <c r="F85" s="259">
        <v>37</v>
      </c>
      <c r="G85" s="259" t="s">
        <v>114</v>
      </c>
      <c r="H85" s="259" t="s">
        <v>138</v>
      </c>
      <c r="I85" s="259" t="s">
        <v>321</v>
      </c>
      <c r="J85" s="259">
        <v>21.236999999999998</v>
      </c>
      <c r="K85" s="259">
        <v>11.420999999999999</v>
      </c>
      <c r="L85" s="259">
        <v>14.798999999999999</v>
      </c>
      <c r="M85" s="259">
        <v>17.027000000000001</v>
      </c>
      <c r="N85" s="259">
        <v>19.161999999999999</v>
      </c>
      <c r="O85" s="259">
        <v>19.838000000000001</v>
      </c>
      <c r="P85" s="259">
        <v>21.922000000000001</v>
      </c>
      <c r="Q85" s="259">
        <v>23.988</v>
      </c>
      <c r="R85" s="259">
        <v>-0.51400000000000001</v>
      </c>
      <c r="S85" s="259">
        <v>-0.53100000000000003</v>
      </c>
      <c r="T85" s="259">
        <v>-0.53900000000000003</v>
      </c>
      <c r="U85" s="259">
        <v>-0.54400000000000004</v>
      </c>
      <c r="V85" s="259">
        <v>-0.54600000000000004</v>
      </c>
      <c r="W85" s="259">
        <v>-0.55000000000000004</v>
      </c>
      <c r="X85" s="259">
        <v>-0.55300000000000005</v>
      </c>
      <c r="Y85" s="259">
        <v>13.384</v>
      </c>
      <c r="Z85" s="259">
        <v>16.635000000000002</v>
      </c>
      <c r="AA85" s="259">
        <v>18.834</v>
      </c>
      <c r="AB85" s="259">
        <v>20.962</v>
      </c>
      <c r="AC85" s="259">
        <v>21.638999999999999</v>
      </c>
      <c r="AD85" s="259">
        <v>23.731000000000002</v>
      </c>
      <c r="AE85" s="259">
        <v>25.814</v>
      </c>
      <c r="AF85" s="259">
        <v>-0.59099999999999997</v>
      </c>
      <c r="AG85" s="259">
        <v>-0.58899999999999997</v>
      </c>
      <c r="AH85" s="259">
        <v>-0.58899999999999997</v>
      </c>
      <c r="AI85" s="259">
        <v>-0.58899999999999997</v>
      </c>
      <c r="AJ85" s="259">
        <v>-0.58899999999999997</v>
      </c>
      <c r="AK85" s="259">
        <v>-0.59</v>
      </c>
      <c r="AL85" s="259">
        <v>-0.59</v>
      </c>
      <c r="AM85" s="259">
        <v>0.115</v>
      </c>
      <c r="AN85" s="259">
        <v>7.9000000000000001E-2</v>
      </c>
      <c r="AO85" s="259">
        <v>6.6000000000000003E-2</v>
      </c>
      <c r="AP85" s="259">
        <v>5.7000000000000002E-2</v>
      </c>
      <c r="AQ85" s="259">
        <v>5.5E-2</v>
      </c>
      <c r="AR85" s="259">
        <v>0.05</v>
      </c>
      <c r="AS85" s="259">
        <v>4.4999999999999998E-2</v>
      </c>
    </row>
    <row r="86" spans="1:45" s="259" customFormat="1">
      <c r="A86" s="259" t="s">
        <v>394</v>
      </c>
      <c r="B86" s="259" t="s">
        <v>205</v>
      </c>
      <c r="C86" s="262">
        <v>47.066766666766675</v>
      </c>
      <c r="D86" s="262">
        <v>-70.766566666566661</v>
      </c>
      <c r="E86" s="263">
        <f>IF(OR(C86="",D86=""),"",ACOS((SIN(RADIANS(C86)) * SIN(RADIANS('Hydrologie-Méthode rationnelle'!$C$22))) + (COS(RADIANS(C86)) * COS(RADIANS('Hydrologie-Méthode rationnelle'!$C$22))) * (COS(RADIANS(D86) - RADIANS('Hydrologie-Méthode rationnelle'!$C$23)))) * 6371)</f>
        <v>8565.7338111989229</v>
      </c>
      <c r="F86" s="259">
        <v>6</v>
      </c>
      <c r="G86" s="259" t="s">
        <v>54</v>
      </c>
      <c r="H86" s="259" t="s">
        <v>86</v>
      </c>
      <c r="I86" s="259" t="s">
        <v>305</v>
      </c>
      <c r="J86" s="259">
        <v>26.033999999999999</v>
      </c>
      <c r="K86" s="259">
        <v>16.751000000000001</v>
      </c>
      <c r="L86" s="259">
        <v>21.818999999999999</v>
      </c>
      <c r="M86" s="259">
        <v>25.163</v>
      </c>
      <c r="N86" s="259">
        <v>28.366</v>
      </c>
      <c r="O86" s="259">
        <v>29.381</v>
      </c>
      <c r="P86" s="259">
        <v>32.506</v>
      </c>
      <c r="Q86" s="259">
        <v>35.604999999999997</v>
      </c>
      <c r="R86" s="259">
        <v>-0.64200000000000002</v>
      </c>
      <c r="S86" s="259">
        <v>-0.63500000000000001</v>
      </c>
      <c r="T86" s="259">
        <v>-0.63300000000000001</v>
      </c>
      <c r="U86" s="259">
        <v>-0.63100000000000001</v>
      </c>
      <c r="V86" s="259">
        <v>-0.63</v>
      </c>
      <c r="W86" s="259">
        <v>-0.629</v>
      </c>
      <c r="X86" s="259">
        <v>-0.627</v>
      </c>
      <c r="Y86" s="259">
        <v>17.093</v>
      </c>
      <c r="Z86" s="259">
        <v>21.818999999999999</v>
      </c>
      <c r="AA86" s="259">
        <v>25.163</v>
      </c>
      <c r="AB86" s="259">
        <v>28.366</v>
      </c>
      <c r="AC86" s="259">
        <v>29.381</v>
      </c>
      <c r="AD86" s="259">
        <v>32.506</v>
      </c>
      <c r="AE86" s="259">
        <v>35.604999999999997</v>
      </c>
      <c r="AF86" s="259">
        <v>-0.65200000000000002</v>
      </c>
      <c r="AG86" s="259">
        <v>-0.63500000000000001</v>
      </c>
      <c r="AH86" s="259">
        <v>-0.63300000000000001</v>
      </c>
      <c r="AI86" s="259">
        <v>-0.63100000000000001</v>
      </c>
      <c r="AJ86" s="259">
        <v>-0.63</v>
      </c>
      <c r="AK86" s="259">
        <v>-0.629</v>
      </c>
      <c r="AL86" s="259">
        <v>-0.627</v>
      </c>
      <c r="AM86" s="259">
        <v>0.01</v>
      </c>
      <c r="AN86" s="259">
        <v>0</v>
      </c>
      <c r="AO86" s="259">
        <v>0</v>
      </c>
      <c r="AP86" s="259">
        <v>0</v>
      </c>
      <c r="AQ86" s="259">
        <v>0</v>
      </c>
      <c r="AR86" s="259">
        <v>0</v>
      </c>
      <c r="AS86" s="259">
        <v>0</v>
      </c>
    </row>
    <row r="87" spans="1:45" s="259" customFormat="1">
      <c r="A87" s="259" t="s">
        <v>395</v>
      </c>
      <c r="B87" s="259" t="s">
        <v>206</v>
      </c>
      <c r="C87" s="262">
        <v>47.283433333433337</v>
      </c>
      <c r="D87" s="262">
        <v>-70.633233333233335</v>
      </c>
      <c r="E87" s="263">
        <f>IF(OR(C87="",D87=""),"",ACOS((SIN(RADIANS(C87)) * SIN(RADIANS('Hydrologie-Méthode rationnelle'!$C$22))) + (COS(RADIANS(C87)) * COS(RADIANS('Hydrologie-Méthode rationnelle'!$C$22))) * (COS(RADIANS(D87) - RADIANS('Hydrologie-Méthode rationnelle'!$C$23)))) * 6371)</f>
        <v>8561.9660123646336</v>
      </c>
      <c r="F87" s="259">
        <v>722</v>
      </c>
      <c r="G87" s="259" t="s">
        <v>95</v>
      </c>
      <c r="H87" s="259" t="s">
        <v>292</v>
      </c>
      <c r="I87" s="259" t="s">
        <v>298</v>
      </c>
      <c r="J87" s="259">
        <v>43.372</v>
      </c>
      <c r="K87" s="259">
        <v>21.416</v>
      </c>
      <c r="L87" s="259">
        <v>30.367999999999999</v>
      </c>
      <c r="M87" s="259">
        <v>36.284999999999997</v>
      </c>
      <c r="N87" s="259">
        <v>41.956000000000003</v>
      </c>
      <c r="O87" s="259">
        <v>43.753999999999998</v>
      </c>
      <c r="P87" s="259">
        <v>49.292999999999999</v>
      </c>
      <c r="Q87" s="259">
        <v>54.789000000000001</v>
      </c>
      <c r="R87" s="259">
        <v>-0.57099999999999995</v>
      </c>
      <c r="S87" s="259">
        <v>-0.56200000000000006</v>
      </c>
      <c r="T87" s="259">
        <v>-0.55900000000000005</v>
      </c>
      <c r="U87" s="259">
        <v>-0.55600000000000005</v>
      </c>
      <c r="V87" s="259">
        <v>-0.55600000000000005</v>
      </c>
      <c r="W87" s="259">
        <v>-0.55400000000000005</v>
      </c>
      <c r="X87" s="259">
        <v>-0.55200000000000005</v>
      </c>
      <c r="Y87" s="259">
        <v>21.416</v>
      </c>
      <c r="Z87" s="259">
        <v>30.556000000000001</v>
      </c>
      <c r="AA87" s="259">
        <v>36.987000000000002</v>
      </c>
      <c r="AB87" s="259">
        <v>43.174999999999997</v>
      </c>
      <c r="AC87" s="259">
        <v>45.140999999999998</v>
      </c>
      <c r="AD87" s="259">
        <v>51.204000000000001</v>
      </c>
      <c r="AE87" s="259">
        <v>57.23</v>
      </c>
      <c r="AF87" s="259">
        <v>-0.57099999999999995</v>
      </c>
      <c r="AG87" s="259">
        <v>-0.56499999999999995</v>
      </c>
      <c r="AH87" s="259">
        <v>-0.56899999999999995</v>
      </c>
      <c r="AI87" s="259">
        <v>-0.57099999999999995</v>
      </c>
      <c r="AJ87" s="259">
        <v>-0.57099999999999995</v>
      </c>
      <c r="AK87" s="259">
        <v>-0.57299999999999995</v>
      </c>
      <c r="AL87" s="259">
        <v>-0.57499999999999996</v>
      </c>
      <c r="AM87" s="259">
        <v>0</v>
      </c>
      <c r="AN87" s="259">
        <v>3.0000000000000001E-3</v>
      </c>
      <c r="AO87" s="259">
        <v>1.0999999999999999E-2</v>
      </c>
      <c r="AP87" s="259">
        <v>1.7000000000000001E-2</v>
      </c>
      <c r="AQ87" s="259">
        <v>1.7999999999999999E-2</v>
      </c>
      <c r="AR87" s="259">
        <v>2.3E-2</v>
      </c>
      <c r="AS87" s="259">
        <v>2.5999999999999999E-2</v>
      </c>
    </row>
    <row r="88" spans="1:45" s="259" customFormat="1">
      <c r="A88" s="259" t="s">
        <v>207</v>
      </c>
      <c r="B88" s="259" t="s">
        <v>208</v>
      </c>
      <c r="C88" s="262">
        <v>50.450100000100008</v>
      </c>
      <c r="D88" s="262">
        <v>-59.633233333233328</v>
      </c>
      <c r="E88" s="263">
        <f>IF(OR(C88="",D88=""),"",ACOS((SIN(RADIANS(C88)) * SIN(RADIANS('Hydrologie-Méthode rationnelle'!$C$22))) + (COS(RADIANS(C88)) * COS(RADIANS('Hydrologie-Méthode rationnelle'!$C$22))) * (COS(RADIANS(D88) - RADIANS('Hydrologie-Méthode rationnelle'!$C$23)))) * 6371)</f>
        <v>7919.5505999297784</v>
      </c>
      <c r="F88" s="259">
        <v>7</v>
      </c>
      <c r="G88" s="259" t="s">
        <v>117</v>
      </c>
      <c r="H88" s="259" t="s">
        <v>292</v>
      </c>
      <c r="I88" s="259" t="s">
        <v>315</v>
      </c>
      <c r="J88" s="259">
        <v>33.667000000000002</v>
      </c>
      <c r="K88" s="259">
        <v>15.513</v>
      </c>
      <c r="L88" s="259">
        <v>21.084</v>
      </c>
      <c r="M88" s="259">
        <v>24.766999999999999</v>
      </c>
      <c r="N88" s="259">
        <v>28.297000000000001</v>
      </c>
      <c r="O88" s="259">
        <v>29.416</v>
      </c>
      <c r="P88" s="259">
        <v>32.863</v>
      </c>
      <c r="Q88" s="259">
        <v>36.283999999999999</v>
      </c>
      <c r="R88" s="259">
        <v>-0.56799999999999995</v>
      </c>
      <c r="S88" s="259">
        <v>-0.56599999999999995</v>
      </c>
      <c r="T88" s="259">
        <v>-0.56599999999999995</v>
      </c>
      <c r="U88" s="259">
        <v>-0.56599999999999995</v>
      </c>
      <c r="V88" s="259">
        <v>-0.56599999999999995</v>
      </c>
      <c r="W88" s="259">
        <v>-0.56599999999999995</v>
      </c>
      <c r="X88" s="259">
        <v>-0.56599999999999995</v>
      </c>
      <c r="Y88" s="259">
        <v>17.498999999999999</v>
      </c>
      <c r="Z88" s="259">
        <v>24.513000000000002</v>
      </c>
      <c r="AA88" s="259">
        <v>29.228000000000002</v>
      </c>
      <c r="AB88" s="259">
        <v>33.787999999999997</v>
      </c>
      <c r="AC88" s="259">
        <v>35.241</v>
      </c>
      <c r="AD88" s="259">
        <v>39.732999999999997</v>
      </c>
      <c r="AE88" s="259">
        <v>44.210999999999999</v>
      </c>
      <c r="AF88" s="259">
        <v>-0.627</v>
      </c>
      <c r="AG88" s="259">
        <v>-0.64</v>
      </c>
      <c r="AH88" s="259">
        <v>-0.64600000000000002</v>
      </c>
      <c r="AI88" s="259">
        <v>-0.65200000000000002</v>
      </c>
      <c r="AJ88" s="259">
        <v>-0.65300000000000002</v>
      </c>
      <c r="AK88" s="259">
        <v>-0.65700000000000003</v>
      </c>
      <c r="AL88" s="259">
        <v>-0.66</v>
      </c>
      <c r="AM88" s="259">
        <v>7.5999999999999998E-2</v>
      </c>
      <c r="AN88" s="259">
        <v>9.8000000000000004E-2</v>
      </c>
      <c r="AO88" s="259">
        <v>0.109</v>
      </c>
      <c r="AP88" s="259">
        <v>0.11799999999999999</v>
      </c>
      <c r="AQ88" s="259">
        <v>0.12</v>
      </c>
      <c r="AR88" s="259">
        <v>0.127</v>
      </c>
      <c r="AS88" s="259">
        <v>0.13300000000000001</v>
      </c>
    </row>
    <row r="89" spans="1:45" s="259" customFormat="1">
      <c r="A89" s="259" t="s">
        <v>209</v>
      </c>
      <c r="B89" s="259" t="s">
        <v>210</v>
      </c>
      <c r="C89" s="262">
        <v>48.716766666766674</v>
      </c>
      <c r="D89" s="262">
        <v>-69.066566666566658</v>
      </c>
      <c r="E89" s="263">
        <f>IF(OR(C89="",D89=""),"",ACOS((SIN(RADIANS(C89)) * SIN(RADIANS('Hydrologie-Méthode rationnelle'!$C$22))) + (COS(RADIANS(C89)) * COS(RADIANS('Hydrologie-Méthode rationnelle'!$C$22))) * (COS(RADIANS(D89) - RADIANS('Hydrologie-Méthode rationnelle'!$C$23)))) * 6371)</f>
        <v>8491.4460906491131</v>
      </c>
      <c r="F89" s="259">
        <v>76</v>
      </c>
      <c r="G89" s="259" t="s">
        <v>82</v>
      </c>
      <c r="H89" s="259" t="s">
        <v>151</v>
      </c>
      <c r="I89" s="259" t="s">
        <v>298</v>
      </c>
      <c r="J89" s="259">
        <v>25.321000000000002</v>
      </c>
      <c r="K89" s="259">
        <v>13.891999999999999</v>
      </c>
      <c r="L89" s="259">
        <v>18.765000000000001</v>
      </c>
      <c r="M89" s="259">
        <v>21.978999999999999</v>
      </c>
      <c r="N89" s="259">
        <v>25.056000000000001</v>
      </c>
      <c r="O89" s="259">
        <v>26.032</v>
      </c>
      <c r="P89" s="259">
        <v>29.035</v>
      </c>
      <c r="Q89" s="259">
        <v>32.015000000000001</v>
      </c>
      <c r="R89" s="259">
        <v>-0.57799999999999996</v>
      </c>
      <c r="S89" s="259">
        <v>-0.6</v>
      </c>
      <c r="T89" s="259">
        <v>-0.60799999999999998</v>
      </c>
      <c r="U89" s="259">
        <v>-0.61499999999999999</v>
      </c>
      <c r="V89" s="259">
        <v>-0.61599999999999999</v>
      </c>
      <c r="W89" s="259">
        <v>-0.621</v>
      </c>
      <c r="X89" s="259">
        <v>-0.625</v>
      </c>
      <c r="Y89" s="259">
        <v>14.09</v>
      </c>
      <c r="Z89" s="259">
        <v>18.875</v>
      </c>
      <c r="AA89" s="259">
        <v>22.042999999999999</v>
      </c>
      <c r="AB89" s="259">
        <v>25.08</v>
      </c>
      <c r="AC89" s="259">
        <v>26.042999999999999</v>
      </c>
      <c r="AD89" s="259">
        <v>29.035</v>
      </c>
      <c r="AE89" s="259">
        <v>32.015000000000001</v>
      </c>
      <c r="AF89" s="259">
        <v>-0.58599999999999997</v>
      </c>
      <c r="AG89" s="259">
        <v>-0.60299999999999998</v>
      </c>
      <c r="AH89" s="259">
        <v>-0.61</v>
      </c>
      <c r="AI89" s="259">
        <v>-0.61499999999999999</v>
      </c>
      <c r="AJ89" s="259">
        <v>-0.61699999999999999</v>
      </c>
      <c r="AK89" s="259">
        <v>-0.621</v>
      </c>
      <c r="AL89" s="259">
        <v>-0.625</v>
      </c>
      <c r="AM89" s="259">
        <v>8.0000000000000002E-3</v>
      </c>
      <c r="AN89" s="259">
        <v>3.0000000000000001E-3</v>
      </c>
      <c r="AO89" s="259">
        <v>1E-3</v>
      </c>
      <c r="AP89" s="259">
        <v>0</v>
      </c>
      <c r="AQ89" s="259">
        <v>0</v>
      </c>
      <c r="AR89" s="259">
        <v>0</v>
      </c>
      <c r="AS89" s="259">
        <v>0</v>
      </c>
    </row>
    <row r="90" spans="1:45" s="259" customFormat="1">
      <c r="A90" s="259" t="s">
        <v>396</v>
      </c>
      <c r="B90" s="259" t="s">
        <v>211</v>
      </c>
      <c r="C90" s="262">
        <v>47.316766666766675</v>
      </c>
      <c r="D90" s="262">
        <v>-71.133233333233335</v>
      </c>
      <c r="E90" s="263">
        <f>IF(OR(C90="",D90=""),"",ACOS((SIN(RADIANS(C90)) * SIN(RADIANS('Hydrologie-Méthode rationnelle'!$C$22))) + (COS(RADIANS(C90)) * COS(RADIANS('Hydrologie-Méthode rationnelle'!$C$22))) * (COS(RADIANS(D90) - RADIANS('Hydrologie-Méthode rationnelle'!$C$23)))) * 6371)</f>
        <v>8599.4180024783909</v>
      </c>
      <c r="F90" s="259">
        <v>672</v>
      </c>
      <c r="G90" s="259" t="s">
        <v>64</v>
      </c>
      <c r="H90" s="259" t="s">
        <v>292</v>
      </c>
      <c r="I90" s="259" t="s">
        <v>322</v>
      </c>
      <c r="J90" s="259">
        <v>40.511000000000003</v>
      </c>
      <c r="K90" s="259">
        <v>20.106000000000002</v>
      </c>
      <c r="L90" s="259">
        <v>25.565999999999999</v>
      </c>
      <c r="M90" s="259">
        <v>29.167000000000002</v>
      </c>
      <c r="N90" s="259">
        <v>32.613999999999997</v>
      </c>
      <c r="O90" s="259">
        <v>33.707000000000001</v>
      </c>
      <c r="P90" s="259">
        <v>37.070999999999998</v>
      </c>
      <c r="Q90" s="259">
        <v>40.408000000000001</v>
      </c>
      <c r="R90" s="259">
        <v>-0.64100000000000001</v>
      </c>
      <c r="S90" s="259">
        <v>-0.64600000000000002</v>
      </c>
      <c r="T90" s="259">
        <v>-0.64800000000000002</v>
      </c>
      <c r="U90" s="259">
        <v>-0.65</v>
      </c>
      <c r="V90" s="259">
        <v>-0.65</v>
      </c>
      <c r="W90" s="259">
        <v>-0.65200000000000002</v>
      </c>
      <c r="X90" s="259">
        <v>-0.65300000000000002</v>
      </c>
      <c r="Y90" s="259">
        <v>22.622</v>
      </c>
      <c r="Z90" s="259">
        <v>30.954999999999998</v>
      </c>
      <c r="AA90" s="259">
        <v>36.656999999999996</v>
      </c>
      <c r="AB90" s="259">
        <v>42.219000000000001</v>
      </c>
      <c r="AC90" s="259">
        <v>43.999000000000002</v>
      </c>
      <c r="AD90" s="259">
        <v>49.517000000000003</v>
      </c>
      <c r="AE90" s="259">
        <v>55.039000000000001</v>
      </c>
      <c r="AF90" s="259">
        <v>-0.7</v>
      </c>
      <c r="AG90" s="259">
        <v>-0.73899999999999999</v>
      </c>
      <c r="AH90" s="259">
        <v>-0.75900000000000001</v>
      </c>
      <c r="AI90" s="259">
        <v>-0.77400000000000002</v>
      </c>
      <c r="AJ90" s="259">
        <v>-0.77800000000000002</v>
      </c>
      <c r="AK90" s="259">
        <v>-0.79</v>
      </c>
      <c r="AL90" s="259">
        <v>-0.79900000000000004</v>
      </c>
      <c r="AM90" s="259">
        <v>6.5000000000000002E-2</v>
      </c>
      <c r="AN90" s="259">
        <v>0.11</v>
      </c>
      <c r="AO90" s="259">
        <v>0.13400000000000001</v>
      </c>
      <c r="AP90" s="259">
        <v>0.154</v>
      </c>
      <c r="AQ90" s="259">
        <v>0.16</v>
      </c>
      <c r="AR90" s="259">
        <v>0.17599999999999999</v>
      </c>
      <c r="AS90" s="259">
        <v>0.19</v>
      </c>
    </row>
    <row r="91" spans="1:45" s="259" customFormat="1">
      <c r="A91" s="259" t="s">
        <v>397</v>
      </c>
      <c r="B91" s="259" t="s">
        <v>212</v>
      </c>
      <c r="C91" s="262">
        <v>51.950100000100008</v>
      </c>
      <c r="D91" s="262">
        <v>-68.116566666566655</v>
      </c>
      <c r="E91" s="263">
        <f>IF(OR(C91="",D91=""),"",ACOS((SIN(RADIANS(C91)) * SIN(RADIANS('Hydrologie-Méthode rationnelle'!$C$22))) + (COS(RADIANS(C91)) * COS(RADIANS('Hydrologie-Méthode rationnelle'!$C$22))) * (COS(RADIANS(D91) - RADIANS('Hydrologie-Méthode rationnelle'!$C$23)))) * 6371)</f>
        <v>8530.7784189338108</v>
      </c>
      <c r="F91" s="259">
        <v>567</v>
      </c>
      <c r="G91" s="259" t="s">
        <v>76</v>
      </c>
      <c r="H91" s="259" t="s">
        <v>157</v>
      </c>
      <c r="I91" s="259" t="s">
        <v>306</v>
      </c>
      <c r="J91" s="259">
        <v>20.988</v>
      </c>
      <c r="K91" s="259">
        <v>13.317</v>
      </c>
      <c r="L91" s="259">
        <v>17.181000000000001</v>
      </c>
      <c r="M91" s="259">
        <v>19.725999999999999</v>
      </c>
      <c r="N91" s="259">
        <v>22.161000000000001</v>
      </c>
      <c r="O91" s="259">
        <v>22.931999999999999</v>
      </c>
      <c r="P91" s="259">
        <v>25.306999999999999</v>
      </c>
      <c r="Q91" s="259">
        <v>27.661000000000001</v>
      </c>
      <c r="R91" s="259">
        <v>-0.64</v>
      </c>
      <c r="S91" s="259">
        <v>-0.65500000000000003</v>
      </c>
      <c r="T91" s="259">
        <v>-0.66100000000000003</v>
      </c>
      <c r="U91" s="259">
        <v>-0.66600000000000004</v>
      </c>
      <c r="V91" s="259">
        <v>-0.66700000000000004</v>
      </c>
      <c r="W91" s="259">
        <v>-0.67100000000000004</v>
      </c>
      <c r="X91" s="259">
        <v>-0.67300000000000004</v>
      </c>
      <c r="Y91" s="259">
        <v>13.414999999999999</v>
      </c>
      <c r="Z91" s="259">
        <v>17.181000000000001</v>
      </c>
      <c r="AA91" s="259">
        <v>19.725999999999999</v>
      </c>
      <c r="AB91" s="259">
        <v>22.161000000000001</v>
      </c>
      <c r="AC91" s="259">
        <v>22.931999999999999</v>
      </c>
      <c r="AD91" s="259">
        <v>25.306999999999999</v>
      </c>
      <c r="AE91" s="259">
        <v>27.661000000000001</v>
      </c>
      <c r="AF91" s="259">
        <v>-0.64400000000000002</v>
      </c>
      <c r="AG91" s="259">
        <v>-0.65500000000000003</v>
      </c>
      <c r="AH91" s="259">
        <v>-0.66100000000000003</v>
      </c>
      <c r="AI91" s="259">
        <v>-0.66600000000000004</v>
      </c>
      <c r="AJ91" s="259">
        <v>-0.66700000000000004</v>
      </c>
      <c r="AK91" s="259">
        <v>-0.67100000000000004</v>
      </c>
      <c r="AL91" s="259">
        <v>-0.67300000000000004</v>
      </c>
      <c r="AM91" s="259">
        <v>4.0000000000000001E-3</v>
      </c>
      <c r="AN91" s="259">
        <v>0</v>
      </c>
      <c r="AO91" s="259">
        <v>0</v>
      </c>
      <c r="AP91" s="259">
        <v>0</v>
      </c>
      <c r="AQ91" s="259">
        <v>0</v>
      </c>
      <c r="AR91" s="259">
        <v>0</v>
      </c>
      <c r="AS91" s="259">
        <v>0</v>
      </c>
    </row>
    <row r="92" spans="1:45" s="259" customFormat="1">
      <c r="A92" s="259" t="s">
        <v>398</v>
      </c>
      <c r="B92" s="259" t="s">
        <v>213</v>
      </c>
      <c r="C92" s="262">
        <v>47.750100000100005</v>
      </c>
      <c r="D92" s="262">
        <v>-70.116566666566655</v>
      </c>
      <c r="E92" s="263">
        <f>IF(OR(C92="",D92=""),"",ACOS((SIN(RADIANS(C92)) * SIN(RADIANS('Hydrologie-Méthode rationnelle'!$C$22))) + (COS(RADIANS(C92)) * COS(RADIANS('Hydrologie-Méthode rationnelle'!$C$22))) * (COS(RADIANS(D92) - RADIANS('Hydrologie-Méthode rationnelle'!$C$23)))) * 6371)</f>
        <v>8537.6383402573283</v>
      </c>
      <c r="F92" s="259">
        <v>365</v>
      </c>
      <c r="G92" s="259" t="s">
        <v>84</v>
      </c>
      <c r="H92" s="259" t="s">
        <v>58</v>
      </c>
      <c r="I92" s="259" t="s">
        <v>301</v>
      </c>
      <c r="J92" s="259">
        <v>29.381</v>
      </c>
      <c r="K92" s="259">
        <v>14.673999999999999</v>
      </c>
      <c r="L92" s="259">
        <v>19.911999999999999</v>
      </c>
      <c r="M92" s="259">
        <v>23.37</v>
      </c>
      <c r="N92" s="259">
        <v>26.683</v>
      </c>
      <c r="O92" s="259">
        <v>27.734000000000002</v>
      </c>
      <c r="P92" s="259">
        <v>30.968</v>
      </c>
      <c r="Q92" s="259">
        <v>34.177</v>
      </c>
      <c r="R92" s="259">
        <v>-0.58399999999999996</v>
      </c>
      <c r="S92" s="259">
        <v>-0.57399999999999995</v>
      </c>
      <c r="T92" s="259">
        <v>-0.56899999999999995</v>
      </c>
      <c r="U92" s="259">
        <v>-0.56599999999999995</v>
      </c>
      <c r="V92" s="259">
        <v>-0.56499999999999995</v>
      </c>
      <c r="W92" s="259">
        <v>-0.56299999999999994</v>
      </c>
      <c r="X92" s="259">
        <v>-0.56100000000000005</v>
      </c>
      <c r="Y92" s="259">
        <v>15.148999999999999</v>
      </c>
      <c r="Z92" s="259">
        <v>20.353000000000002</v>
      </c>
      <c r="AA92" s="259">
        <v>23.79</v>
      </c>
      <c r="AB92" s="259">
        <v>27.082000000000001</v>
      </c>
      <c r="AC92" s="259">
        <v>28.126000000000001</v>
      </c>
      <c r="AD92" s="259">
        <v>31.341000000000001</v>
      </c>
      <c r="AE92" s="259">
        <v>34.53</v>
      </c>
      <c r="AF92" s="259">
        <v>-0.60099999999999998</v>
      </c>
      <c r="AG92" s="259">
        <v>-0.58499999999999996</v>
      </c>
      <c r="AH92" s="259">
        <v>-0.57799999999999996</v>
      </c>
      <c r="AI92" s="259">
        <v>-0.57399999999999995</v>
      </c>
      <c r="AJ92" s="259">
        <v>-0.57299999999999995</v>
      </c>
      <c r="AK92" s="259">
        <v>-0.56899999999999995</v>
      </c>
      <c r="AL92" s="259">
        <v>-0.56699999999999995</v>
      </c>
      <c r="AM92" s="259">
        <v>1.7999999999999999E-2</v>
      </c>
      <c r="AN92" s="259">
        <v>1.2E-2</v>
      </c>
      <c r="AO92" s="259">
        <v>0.01</v>
      </c>
      <c r="AP92" s="259">
        <v>8.0000000000000002E-3</v>
      </c>
      <c r="AQ92" s="259">
        <v>8.0000000000000002E-3</v>
      </c>
      <c r="AR92" s="259">
        <v>7.0000000000000001E-3</v>
      </c>
      <c r="AS92" s="259">
        <v>6.0000000000000001E-3</v>
      </c>
    </row>
    <row r="93" spans="1:45" s="259" customFormat="1">
      <c r="A93" s="259" t="s">
        <v>399</v>
      </c>
      <c r="B93" s="259" t="s">
        <v>214</v>
      </c>
      <c r="C93" s="262">
        <v>50.266766666766678</v>
      </c>
      <c r="D93" s="262">
        <v>-63.599899999899996</v>
      </c>
      <c r="E93" s="263">
        <f>IF(OR(C93="",D93=""),"",ACOS((SIN(RADIANS(C93)) * SIN(RADIANS('Hydrologie-Méthode rationnelle'!$C$22))) + (COS(RADIANS(C93)) * COS(RADIANS('Hydrologie-Méthode rationnelle'!$C$22))) * (COS(RADIANS(D93) - RADIANS('Hydrologie-Méthode rationnelle'!$C$23)))) * 6371)</f>
        <v>8171.4803353799398</v>
      </c>
      <c r="F93" s="259">
        <v>37</v>
      </c>
      <c r="G93" s="259" t="s">
        <v>54</v>
      </c>
      <c r="H93" s="259" t="s">
        <v>181</v>
      </c>
      <c r="I93" s="259" t="s">
        <v>302</v>
      </c>
      <c r="J93" s="259">
        <v>29.149000000000001</v>
      </c>
      <c r="K93" s="259">
        <v>13.805999999999999</v>
      </c>
      <c r="L93" s="259">
        <v>18.498000000000001</v>
      </c>
      <c r="M93" s="259">
        <v>21.574999999999999</v>
      </c>
      <c r="N93" s="259">
        <v>24.513000000000002</v>
      </c>
      <c r="O93" s="259">
        <v>25.443999999999999</v>
      </c>
      <c r="P93" s="259">
        <v>28.305</v>
      </c>
      <c r="Q93" s="259">
        <v>31.138999999999999</v>
      </c>
      <c r="R93" s="259">
        <v>-0.54600000000000004</v>
      </c>
      <c r="S93" s="259">
        <v>-0.57799999999999996</v>
      </c>
      <c r="T93" s="259">
        <v>-0.59299999999999997</v>
      </c>
      <c r="U93" s="259">
        <v>-0.60299999999999998</v>
      </c>
      <c r="V93" s="259">
        <v>-0.60599999999999998</v>
      </c>
      <c r="W93" s="259">
        <v>-0.61399999999999999</v>
      </c>
      <c r="X93" s="259">
        <v>-0.62</v>
      </c>
      <c r="Y93" s="259">
        <v>14.404999999999999</v>
      </c>
      <c r="Z93" s="259">
        <v>19.75</v>
      </c>
      <c r="AA93" s="259">
        <v>23.291</v>
      </c>
      <c r="AB93" s="259">
        <v>26.69</v>
      </c>
      <c r="AC93" s="259">
        <v>27.768000000000001</v>
      </c>
      <c r="AD93" s="259">
        <v>31.091000000000001</v>
      </c>
      <c r="AE93" s="259">
        <v>34.390999999999998</v>
      </c>
      <c r="AF93" s="259">
        <v>-0.56699999999999995</v>
      </c>
      <c r="AG93" s="259">
        <v>-0.61099999999999999</v>
      </c>
      <c r="AH93" s="259">
        <v>-0.63100000000000001</v>
      </c>
      <c r="AI93" s="259">
        <v>-0.64600000000000002</v>
      </c>
      <c r="AJ93" s="259">
        <v>-0.65</v>
      </c>
      <c r="AK93" s="259">
        <v>-0.66</v>
      </c>
      <c r="AL93" s="259">
        <v>-0.66900000000000004</v>
      </c>
      <c r="AM93" s="259">
        <v>2.5999999999999999E-2</v>
      </c>
      <c r="AN93" s="259">
        <v>3.7999999999999999E-2</v>
      </c>
      <c r="AO93" s="259">
        <v>4.3999999999999997E-2</v>
      </c>
      <c r="AP93" s="259">
        <v>4.8000000000000001E-2</v>
      </c>
      <c r="AQ93" s="259">
        <v>0.05</v>
      </c>
      <c r="AR93" s="259">
        <v>5.2999999999999999E-2</v>
      </c>
      <c r="AS93" s="259">
        <v>5.6000000000000001E-2</v>
      </c>
    </row>
    <row r="94" spans="1:45" s="259" customFormat="1">
      <c r="A94" s="259" t="s">
        <v>400</v>
      </c>
      <c r="B94" s="259" t="s">
        <v>215</v>
      </c>
      <c r="C94" s="262">
        <v>50.166766666766662</v>
      </c>
      <c r="D94" s="262">
        <v>-61.816566666566665</v>
      </c>
      <c r="E94" s="263">
        <f>IF(OR(C94="",D94=""),"",ACOS((SIN(RADIANS(C94)) * SIN(RADIANS('Hydrologie-Méthode rationnelle'!$C$22))) + (COS(RADIANS(C94)) * COS(RADIANS('Hydrologie-Méthode rationnelle'!$C$22))) * (COS(RADIANS(D94) - RADIANS('Hydrologie-Méthode rationnelle'!$C$23)))) * 6371)</f>
        <v>8049.4316925042085</v>
      </c>
      <c r="F94" s="259">
        <v>10</v>
      </c>
      <c r="G94" s="259" t="s">
        <v>69</v>
      </c>
      <c r="H94" s="259" t="s">
        <v>202</v>
      </c>
      <c r="I94" s="259" t="s">
        <v>316</v>
      </c>
      <c r="J94" s="259">
        <v>27.248999999999999</v>
      </c>
      <c r="K94" s="259">
        <v>14.044</v>
      </c>
      <c r="L94" s="259">
        <v>18.193000000000001</v>
      </c>
      <c r="M94" s="259">
        <v>20.934000000000001</v>
      </c>
      <c r="N94" s="259">
        <v>23.561</v>
      </c>
      <c r="O94" s="259">
        <v>24.393000000000001</v>
      </c>
      <c r="P94" s="259">
        <v>26.957999999999998</v>
      </c>
      <c r="Q94" s="259">
        <v>29.501999999999999</v>
      </c>
      <c r="R94" s="259">
        <v>-0.54400000000000004</v>
      </c>
      <c r="S94" s="259">
        <v>-0.55500000000000005</v>
      </c>
      <c r="T94" s="259">
        <v>-0.56000000000000005</v>
      </c>
      <c r="U94" s="259">
        <v>-0.56399999999999995</v>
      </c>
      <c r="V94" s="259">
        <v>-0.56499999999999995</v>
      </c>
      <c r="W94" s="259">
        <v>-0.56799999999999995</v>
      </c>
      <c r="X94" s="259">
        <v>-0.56999999999999995</v>
      </c>
      <c r="Y94" s="259">
        <v>15.092000000000001</v>
      </c>
      <c r="Z94" s="259">
        <v>20.457999999999998</v>
      </c>
      <c r="AA94" s="259">
        <v>24.074000000000002</v>
      </c>
      <c r="AB94" s="259">
        <v>27.573</v>
      </c>
      <c r="AC94" s="259">
        <v>28.687999999999999</v>
      </c>
      <c r="AD94" s="259">
        <v>32.134999999999998</v>
      </c>
      <c r="AE94" s="259">
        <v>35.57</v>
      </c>
      <c r="AF94" s="259">
        <v>-0.57999999999999996</v>
      </c>
      <c r="AG94" s="259">
        <v>-0.61299999999999999</v>
      </c>
      <c r="AH94" s="259">
        <v>-0.628</v>
      </c>
      <c r="AI94" s="259">
        <v>-0.64</v>
      </c>
      <c r="AJ94" s="259">
        <v>-0.64400000000000002</v>
      </c>
      <c r="AK94" s="259">
        <v>-0.65300000000000002</v>
      </c>
      <c r="AL94" s="259">
        <v>-0.66</v>
      </c>
      <c r="AM94" s="259">
        <v>4.4999999999999998E-2</v>
      </c>
      <c r="AN94" s="259">
        <v>7.4999999999999997E-2</v>
      </c>
      <c r="AO94" s="259">
        <v>9.0999999999999998E-2</v>
      </c>
      <c r="AP94" s="259">
        <v>0.10299999999999999</v>
      </c>
      <c r="AQ94" s="259">
        <v>0.106</v>
      </c>
      <c r="AR94" s="259">
        <v>0.11600000000000001</v>
      </c>
      <c r="AS94" s="259">
        <v>0.124</v>
      </c>
    </row>
    <row r="95" spans="1:45" s="259" customFormat="1">
      <c r="A95" s="259" t="s">
        <v>216</v>
      </c>
      <c r="B95" s="259" t="s">
        <v>217</v>
      </c>
      <c r="C95" s="262">
        <v>49.716766666766674</v>
      </c>
      <c r="D95" s="262">
        <v>-67.166566666566666</v>
      </c>
      <c r="E95" s="263">
        <f>IF(OR(C95="",D95=""),"",ACOS((SIN(RADIANS(C95)) * SIN(RADIANS('Hydrologie-Méthode rationnelle'!$C$22))) + (COS(RADIANS(C95)) * COS(RADIANS('Hydrologie-Méthode rationnelle'!$C$22))) * (COS(RADIANS(D95) - RADIANS('Hydrologie-Méthode rationnelle'!$C$23)))) * 6371)</f>
        <v>8391.7791280922957</v>
      </c>
      <c r="F95" s="259">
        <v>15</v>
      </c>
      <c r="G95" s="259" t="s">
        <v>157</v>
      </c>
      <c r="H95" s="259" t="s">
        <v>55</v>
      </c>
      <c r="I95" s="259" t="s">
        <v>317</v>
      </c>
      <c r="J95" s="259">
        <v>34.616</v>
      </c>
      <c r="K95" s="259">
        <v>16.552</v>
      </c>
      <c r="L95" s="259">
        <v>22.54</v>
      </c>
      <c r="M95" s="259">
        <v>26.484000000000002</v>
      </c>
      <c r="N95" s="259">
        <v>30.260999999999999</v>
      </c>
      <c r="O95" s="259">
        <v>31.457000000000001</v>
      </c>
      <c r="P95" s="259">
        <v>35.140999999999998</v>
      </c>
      <c r="Q95" s="259">
        <v>38.795000000000002</v>
      </c>
      <c r="R95" s="259">
        <v>-0.53300000000000003</v>
      </c>
      <c r="S95" s="259">
        <v>-0.55100000000000005</v>
      </c>
      <c r="T95" s="259">
        <v>-0.55900000000000005</v>
      </c>
      <c r="U95" s="259">
        <v>-0.56399999999999995</v>
      </c>
      <c r="V95" s="259">
        <v>-0.56599999999999995</v>
      </c>
      <c r="W95" s="259">
        <v>-0.56899999999999995</v>
      </c>
      <c r="X95" s="259">
        <v>-0.57299999999999995</v>
      </c>
      <c r="Y95" s="259">
        <v>17.806000000000001</v>
      </c>
      <c r="Z95" s="259">
        <v>24.658000000000001</v>
      </c>
      <c r="AA95" s="259">
        <v>29.271999999999998</v>
      </c>
      <c r="AB95" s="259">
        <v>33.744999999999997</v>
      </c>
      <c r="AC95" s="259">
        <v>35.171999999999997</v>
      </c>
      <c r="AD95" s="259">
        <v>39.588999999999999</v>
      </c>
      <c r="AE95" s="259">
        <v>44.002000000000002</v>
      </c>
      <c r="AF95" s="259">
        <v>-0.56999999999999995</v>
      </c>
      <c r="AG95" s="259">
        <v>-0.59599999999999997</v>
      </c>
      <c r="AH95" s="259">
        <v>-0.60799999999999998</v>
      </c>
      <c r="AI95" s="259">
        <v>-0.61799999999999999</v>
      </c>
      <c r="AJ95" s="259">
        <v>-0.62</v>
      </c>
      <c r="AK95" s="259">
        <v>-0.628</v>
      </c>
      <c r="AL95" s="259">
        <v>-0.63400000000000001</v>
      </c>
      <c r="AM95" s="259">
        <v>4.7E-2</v>
      </c>
      <c r="AN95" s="259">
        <v>5.7000000000000002E-2</v>
      </c>
      <c r="AO95" s="259">
        <v>6.3E-2</v>
      </c>
      <c r="AP95" s="259">
        <v>6.8000000000000005E-2</v>
      </c>
      <c r="AQ95" s="259">
        <v>7.0000000000000007E-2</v>
      </c>
      <c r="AR95" s="259">
        <v>7.4999999999999997E-2</v>
      </c>
      <c r="AS95" s="259">
        <v>7.9000000000000001E-2</v>
      </c>
    </row>
    <row r="96" spans="1:45" s="259" customFormat="1">
      <c r="A96" s="259" t="s">
        <v>218</v>
      </c>
      <c r="B96" s="259" t="s">
        <v>219</v>
      </c>
      <c r="C96" s="262">
        <v>50.216766666766674</v>
      </c>
      <c r="D96" s="262">
        <v>-66.249899999899995</v>
      </c>
      <c r="E96" s="263">
        <f>IF(OR(C96="",D96=""),"",ACOS((SIN(RADIANS(C96)) * SIN(RADIANS('Hydrologie-Méthode rationnelle'!$C$22))) + (COS(RADIANS(C96)) * COS(RADIANS('Hydrologie-Méthode rationnelle'!$C$22))) * (COS(RADIANS(D96) - RADIANS('Hydrologie-Méthode rationnelle'!$C$23)))) * 6371)</f>
        <v>8346.9166970475853</v>
      </c>
      <c r="F96" s="259">
        <v>52</v>
      </c>
      <c r="G96" s="259" t="s">
        <v>69</v>
      </c>
      <c r="H96" s="259" t="s">
        <v>292</v>
      </c>
      <c r="I96" s="259" t="s">
        <v>323</v>
      </c>
      <c r="J96" s="259">
        <v>22.789000000000001</v>
      </c>
      <c r="K96" s="259">
        <v>13.539</v>
      </c>
      <c r="L96" s="259">
        <v>18.007000000000001</v>
      </c>
      <c r="M96" s="259">
        <v>20.949000000000002</v>
      </c>
      <c r="N96" s="259">
        <v>23.765000000000001</v>
      </c>
      <c r="O96" s="259">
        <v>24.657</v>
      </c>
      <c r="P96" s="259">
        <v>27.402999999999999</v>
      </c>
      <c r="Q96" s="259">
        <v>30.126000000000001</v>
      </c>
      <c r="R96" s="259">
        <v>-0.55700000000000005</v>
      </c>
      <c r="S96" s="259">
        <v>-0.57399999999999995</v>
      </c>
      <c r="T96" s="259">
        <v>-0.58199999999999996</v>
      </c>
      <c r="U96" s="259">
        <v>-0.58699999999999997</v>
      </c>
      <c r="V96" s="259">
        <v>-0.58799999999999997</v>
      </c>
      <c r="W96" s="259">
        <v>-0.59199999999999997</v>
      </c>
      <c r="X96" s="259">
        <v>-0.59499999999999997</v>
      </c>
      <c r="Y96" s="259">
        <v>14.063000000000001</v>
      </c>
      <c r="Z96" s="259">
        <v>18.007000000000001</v>
      </c>
      <c r="AA96" s="259">
        <v>20.949000000000002</v>
      </c>
      <c r="AB96" s="259">
        <v>23.765000000000001</v>
      </c>
      <c r="AC96" s="259">
        <v>24.657</v>
      </c>
      <c r="AD96" s="259">
        <v>27.402999999999999</v>
      </c>
      <c r="AE96" s="259">
        <v>30.126000000000001</v>
      </c>
      <c r="AF96" s="259">
        <v>-0.57599999999999996</v>
      </c>
      <c r="AG96" s="259">
        <v>-0.57399999999999995</v>
      </c>
      <c r="AH96" s="259">
        <v>-0.58199999999999996</v>
      </c>
      <c r="AI96" s="259">
        <v>-0.58699999999999997</v>
      </c>
      <c r="AJ96" s="259">
        <v>-0.58799999999999997</v>
      </c>
      <c r="AK96" s="259">
        <v>-0.59199999999999997</v>
      </c>
      <c r="AL96" s="259">
        <v>-0.59499999999999997</v>
      </c>
      <c r="AM96" s="259">
        <v>2.1999999999999999E-2</v>
      </c>
      <c r="AN96" s="259">
        <v>0</v>
      </c>
      <c r="AO96" s="259">
        <v>0</v>
      </c>
      <c r="AP96" s="259">
        <v>0</v>
      </c>
      <c r="AQ96" s="259">
        <v>0</v>
      </c>
      <c r="AR96" s="259">
        <v>0</v>
      </c>
      <c r="AS96" s="259">
        <v>0</v>
      </c>
    </row>
    <row r="97" spans="1:45" s="259" customFormat="1">
      <c r="A97" s="259" t="s">
        <v>401</v>
      </c>
      <c r="B97" s="259" t="s">
        <v>220</v>
      </c>
      <c r="C97" s="262">
        <v>50.150100000100004</v>
      </c>
      <c r="D97" s="262">
        <v>-66.433233333233332</v>
      </c>
      <c r="E97" s="263">
        <f>IF(OR(C97="",D97=""),"",ACOS((SIN(RADIANS(C97)) * SIN(RADIANS('Hydrologie-Méthode rationnelle'!$C$22))) + (COS(RADIANS(C97)) * COS(RADIANS('Hydrologie-Méthode rationnelle'!$C$22))) * (COS(RADIANS(D97) - RADIANS('Hydrologie-Méthode rationnelle'!$C$23)))) * 6371)</f>
        <v>8356.9243720902232</v>
      </c>
      <c r="F97" s="259">
        <v>24</v>
      </c>
      <c r="G97" s="259" t="s">
        <v>95</v>
      </c>
      <c r="H97" s="259" t="s">
        <v>292</v>
      </c>
      <c r="I97" s="259" t="s">
        <v>309</v>
      </c>
      <c r="J97" s="259">
        <v>35.03</v>
      </c>
      <c r="K97" s="259">
        <v>16.263000000000002</v>
      </c>
      <c r="L97" s="259">
        <v>22.347999999999999</v>
      </c>
      <c r="M97" s="259">
        <v>26.373000000000001</v>
      </c>
      <c r="N97" s="259">
        <v>30.231000000000002</v>
      </c>
      <c r="O97" s="259">
        <v>31.454999999999998</v>
      </c>
      <c r="P97" s="259">
        <v>35.223999999999997</v>
      </c>
      <c r="Q97" s="259">
        <v>38.965000000000003</v>
      </c>
      <c r="R97" s="259">
        <v>-0.63800000000000001</v>
      </c>
      <c r="S97" s="259">
        <v>-0.64</v>
      </c>
      <c r="T97" s="259">
        <v>-0.64100000000000001</v>
      </c>
      <c r="U97" s="259">
        <v>-0.64100000000000001</v>
      </c>
      <c r="V97" s="259">
        <v>-0.64100000000000001</v>
      </c>
      <c r="W97" s="259">
        <v>-0.64200000000000002</v>
      </c>
      <c r="X97" s="259">
        <v>-0.64200000000000002</v>
      </c>
      <c r="Y97" s="259">
        <v>17.969000000000001</v>
      </c>
      <c r="Z97" s="259">
        <v>24.849</v>
      </c>
      <c r="AA97" s="259">
        <v>29.405000000000001</v>
      </c>
      <c r="AB97" s="259">
        <v>33.774999999999999</v>
      </c>
      <c r="AC97" s="259">
        <v>35.161999999999999</v>
      </c>
      <c r="AD97" s="259">
        <v>39.433999999999997</v>
      </c>
      <c r="AE97" s="259">
        <v>43.674999999999997</v>
      </c>
      <c r="AF97" s="259">
        <v>-0.68700000000000006</v>
      </c>
      <c r="AG97" s="259">
        <v>-0.69299999999999995</v>
      </c>
      <c r="AH97" s="259">
        <v>-0.69499999999999995</v>
      </c>
      <c r="AI97" s="259">
        <v>-0.69599999999999995</v>
      </c>
      <c r="AJ97" s="259">
        <v>-0.69699999999999995</v>
      </c>
      <c r="AK97" s="259">
        <v>-0.69799999999999995</v>
      </c>
      <c r="AL97" s="259">
        <v>-0.69899999999999995</v>
      </c>
      <c r="AM97" s="259">
        <v>5.3999999999999999E-2</v>
      </c>
      <c r="AN97" s="259">
        <v>5.8000000000000003E-2</v>
      </c>
      <c r="AO97" s="259">
        <v>5.8999999999999997E-2</v>
      </c>
      <c r="AP97" s="259">
        <v>0.06</v>
      </c>
      <c r="AQ97" s="259">
        <v>6.0999999999999999E-2</v>
      </c>
      <c r="AR97" s="259">
        <v>6.2E-2</v>
      </c>
      <c r="AS97" s="259">
        <v>6.2E-2</v>
      </c>
    </row>
    <row r="98" spans="1:45" s="259" customFormat="1">
      <c r="A98" s="259" t="s">
        <v>221</v>
      </c>
      <c r="B98" s="259" t="s">
        <v>222</v>
      </c>
      <c r="C98" s="262">
        <v>49.250100000100005</v>
      </c>
      <c r="D98" s="262">
        <v>-68.133233333233335</v>
      </c>
      <c r="E98" s="263">
        <f>IF(OR(C98="",D98=""),"",ACOS((SIN(RADIANS(C98)) * SIN(RADIANS('Hydrologie-Méthode rationnelle'!$C$22))) + (COS(RADIANS(C98)) * COS(RADIANS('Hydrologie-Méthode rationnelle'!$C$22))) * (COS(RADIANS(D98) - RADIANS('Hydrologie-Méthode rationnelle'!$C$23)))) * 6371)</f>
        <v>8442.9491629814238</v>
      </c>
      <c r="F98" s="259">
        <v>129</v>
      </c>
      <c r="G98" s="259" t="s">
        <v>117</v>
      </c>
      <c r="H98" s="259" t="s">
        <v>292</v>
      </c>
      <c r="I98" s="259" t="s">
        <v>306</v>
      </c>
      <c r="J98" s="259">
        <v>32.200000000000003</v>
      </c>
      <c r="K98" s="259">
        <v>14.231</v>
      </c>
      <c r="L98" s="259">
        <v>21.172000000000001</v>
      </c>
      <c r="M98" s="259">
        <v>25.734000000000002</v>
      </c>
      <c r="N98" s="259">
        <v>30.097000000000001</v>
      </c>
      <c r="O98" s="259">
        <v>31.478999999999999</v>
      </c>
      <c r="P98" s="259">
        <v>35.734000000000002</v>
      </c>
      <c r="Q98" s="259">
        <v>39.953000000000003</v>
      </c>
      <c r="R98" s="259">
        <v>-0.60699999999999998</v>
      </c>
      <c r="S98" s="259">
        <v>-0.64300000000000002</v>
      </c>
      <c r="T98" s="259">
        <v>-0.65600000000000003</v>
      </c>
      <c r="U98" s="259">
        <v>-0.66400000000000003</v>
      </c>
      <c r="V98" s="259">
        <v>-0.66700000000000004</v>
      </c>
      <c r="W98" s="259">
        <v>-0.67300000000000004</v>
      </c>
      <c r="X98" s="259">
        <v>-0.67700000000000005</v>
      </c>
      <c r="Y98" s="259">
        <v>14.407999999999999</v>
      </c>
      <c r="Z98" s="259">
        <v>21.210999999999999</v>
      </c>
      <c r="AA98" s="259">
        <v>25.734000000000002</v>
      </c>
      <c r="AB98" s="259">
        <v>30.097000000000001</v>
      </c>
      <c r="AC98" s="259">
        <v>31.478999999999999</v>
      </c>
      <c r="AD98" s="259">
        <v>35.734000000000002</v>
      </c>
      <c r="AE98" s="259">
        <v>39.953000000000003</v>
      </c>
      <c r="AF98" s="259">
        <v>-0.61399999999999999</v>
      </c>
      <c r="AG98" s="259">
        <v>-0.64400000000000002</v>
      </c>
      <c r="AH98" s="259">
        <v>-0.65600000000000003</v>
      </c>
      <c r="AI98" s="259">
        <v>-0.66400000000000003</v>
      </c>
      <c r="AJ98" s="259">
        <v>-0.66700000000000004</v>
      </c>
      <c r="AK98" s="259">
        <v>-0.67300000000000004</v>
      </c>
      <c r="AL98" s="259">
        <v>-0.67700000000000005</v>
      </c>
      <c r="AM98" s="259">
        <v>6.0000000000000001E-3</v>
      </c>
      <c r="AN98" s="259">
        <v>1E-3</v>
      </c>
      <c r="AO98" s="259">
        <v>0</v>
      </c>
      <c r="AP98" s="259">
        <v>0</v>
      </c>
      <c r="AQ98" s="259">
        <v>0</v>
      </c>
      <c r="AR98" s="259">
        <v>0</v>
      </c>
      <c r="AS98" s="259">
        <v>0</v>
      </c>
    </row>
    <row r="99" spans="1:45" s="259" customFormat="1">
      <c r="A99" s="259" t="s">
        <v>407</v>
      </c>
      <c r="B99" s="259" t="s">
        <v>223</v>
      </c>
      <c r="C99" s="262">
        <v>49.216766666766674</v>
      </c>
      <c r="D99" s="262">
        <v>-65.316566666566658</v>
      </c>
      <c r="E99" s="263">
        <f>IF(OR(C99="",D99=""),"",ACOS((SIN(RADIANS(C99)) * SIN(RADIANS('Hydrologie-Méthode rationnelle'!$C$22))) + (COS(RADIANS(C99)) * COS(RADIANS('Hydrologie-Méthode rationnelle'!$C$22))) * (COS(RADIANS(D99) - RADIANS('Hydrologie-Méthode rationnelle'!$C$23)))) * 6371)</f>
        <v>8247.3624622258394</v>
      </c>
      <c r="F99" s="259">
        <v>2</v>
      </c>
      <c r="G99" s="259" t="s">
        <v>64</v>
      </c>
      <c r="H99" s="259" t="s">
        <v>62</v>
      </c>
      <c r="I99" s="259" t="s">
        <v>295</v>
      </c>
      <c r="J99" s="259">
        <v>25.745000000000001</v>
      </c>
      <c r="K99" s="259">
        <v>12.427</v>
      </c>
      <c r="L99" s="259">
        <v>17.187999999999999</v>
      </c>
      <c r="M99" s="259">
        <v>20.331</v>
      </c>
      <c r="N99" s="259">
        <v>23.343</v>
      </c>
      <c r="O99" s="259">
        <v>24.297999999999998</v>
      </c>
      <c r="P99" s="259">
        <v>27.239000000000001</v>
      </c>
      <c r="Q99" s="259">
        <v>30.157</v>
      </c>
      <c r="R99" s="259">
        <v>-0.59799999999999998</v>
      </c>
      <c r="S99" s="259">
        <v>-0.58199999999999996</v>
      </c>
      <c r="T99" s="259">
        <v>-0.57499999999999996</v>
      </c>
      <c r="U99" s="259">
        <v>-0.56999999999999995</v>
      </c>
      <c r="V99" s="259">
        <v>-0.56899999999999995</v>
      </c>
      <c r="W99" s="259">
        <v>-0.56599999999999995</v>
      </c>
      <c r="X99" s="259">
        <v>-0.56299999999999994</v>
      </c>
      <c r="Y99" s="259">
        <v>12.792</v>
      </c>
      <c r="Z99" s="259">
        <v>17.809000000000001</v>
      </c>
      <c r="AA99" s="259">
        <v>21.131</v>
      </c>
      <c r="AB99" s="259">
        <v>24.317</v>
      </c>
      <c r="AC99" s="259">
        <v>25.327999999999999</v>
      </c>
      <c r="AD99" s="259">
        <v>28.442</v>
      </c>
      <c r="AE99" s="259">
        <v>31.533000000000001</v>
      </c>
      <c r="AF99" s="259">
        <v>-0.61299999999999999</v>
      </c>
      <c r="AG99" s="259">
        <v>-0.6</v>
      </c>
      <c r="AH99" s="259">
        <v>-0.59499999999999997</v>
      </c>
      <c r="AI99" s="259">
        <v>-0.59099999999999997</v>
      </c>
      <c r="AJ99" s="259">
        <v>-0.59</v>
      </c>
      <c r="AK99" s="259">
        <v>-0.58799999999999997</v>
      </c>
      <c r="AL99" s="259">
        <v>-0.58599999999999997</v>
      </c>
      <c r="AM99" s="259">
        <v>1.6E-2</v>
      </c>
      <c r="AN99" s="259">
        <v>0.02</v>
      </c>
      <c r="AO99" s="259">
        <v>2.1999999999999999E-2</v>
      </c>
      <c r="AP99" s="259">
        <v>2.4E-2</v>
      </c>
      <c r="AQ99" s="259">
        <v>2.4E-2</v>
      </c>
      <c r="AR99" s="259">
        <v>2.5000000000000001E-2</v>
      </c>
      <c r="AS99" s="259">
        <v>2.5999999999999999E-2</v>
      </c>
    </row>
    <row r="100" spans="1:45" s="259" customFormat="1">
      <c r="A100" s="259" t="s">
        <v>408</v>
      </c>
      <c r="B100" s="259" t="s">
        <v>224</v>
      </c>
      <c r="C100" s="262">
        <v>49.016766666766678</v>
      </c>
      <c r="D100" s="262">
        <v>-66.399899999900001</v>
      </c>
      <c r="E100" s="263">
        <f>IF(OR(C100="",D100=""),"",ACOS((SIN(RADIANS(C100)) * SIN(RADIANS('Hydrologie-Méthode rationnelle'!$C$22))) + (COS(RADIANS(C100)) * COS(RADIANS('Hydrologie-Méthode rationnelle'!$C$22))) * (COS(RADIANS(D100) - RADIANS('Hydrologie-Méthode rationnelle'!$C$23)))) * 6371)</f>
        <v>8314.897792677446</v>
      </c>
      <c r="F100" s="259">
        <v>229</v>
      </c>
      <c r="G100" s="259" t="s">
        <v>69</v>
      </c>
      <c r="H100" s="259" t="s">
        <v>62</v>
      </c>
      <c r="I100" s="259" t="s">
        <v>309</v>
      </c>
      <c r="J100" s="259">
        <v>33.707999999999998</v>
      </c>
      <c r="K100" s="259">
        <v>15.125</v>
      </c>
      <c r="L100" s="259">
        <v>20.864000000000001</v>
      </c>
      <c r="M100" s="259">
        <v>24.655000000000001</v>
      </c>
      <c r="N100" s="259">
        <v>28.289000000000001</v>
      </c>
      <c r="O100" s="259">
        <v>29.440999999999999</v>
      </c>
      <c r="P100" s="259">
        <v>32.988999999999997</v>
      </c>
      <c r="Q100" s="259">
        <v>36.509</v>
      </c>
      <c r="R100" s="259">
        <v>-0.64400000000000002</v>
      </c>
      <c r="S100" s="259">
        <v>-0.66100000000000003</v>
      </c>
      <c r="T100" s="259">
        <v>-0.66800000000000004</v>
      </c>
      <c r="U100" s="259">
        <v>-0.67300000000000004</v>
      </c>
      <c r="V100" s="259">
        <v>-0.67400000000000004</v>
      </c>
      <c r="W100" s="259">
        <v>-0.67700000000000005</v>
      </c>
      <c r="X100" s="259">
        <v>-0.68</v>
      </c>
      <c r="Y100" s="259">
        <v>18.303000000000001</v>
      </c>
      <c r="Z100" s="259">
        <v>25.556999999999999</v>
      </c>
      <c r="AA100" s="259">
        <v>30.385000000000002</v>
      </c>
      <c r="AB100" s="259">
        <v>35.026000000000003</v>
      </c>
      <c r="AC100" s="259">
        <v>36.500999999999998</v>
      </c>
      <c r="AD100" s="259">
        <v>41.045999999999999</v>
      </c>
      <c r="AE100" s="259">
        <v>45.563000000000002</v>
      </c>
      <c r="AF100" s="259">
        <v>-0.73699999999999999</v>
      </c>
      <c r="AG100" s="259">
        <v>-0.75900000000000001</v>
      </c>
      <c r="AH100" s="259">
        <v>-0.76900000000000002</v>
      </c>
      <c r="AI100" s="259">
        <v>-0.77600000000000002</v>
      </c>
      <c r="AJ100" s="259">
        <v>-0.77800000000000002</v>
      </c>
      <c r="AK100" s="259">
        <v>-0.78300000000000003</v>
      </c>
      <c r="AL100" s="259">
        <v>-0.78700000000000003</v>
      </c>
      <c r="AM100" s="259">
        <v>0.11</v>
      </c>
      <c r="AN100" s="259">
        <v>0.115</v>
      </c>
      <c r="AO100" s="259">
        <v>0.11700000000000001</v>
      </c>
      <c r="AP100" s="259">
        <v>0.11899999999999999</v>
      </c>
      <c r="AQ100" s="259">
        <v>0.12</v>
      </c>
      <c r="AR100" s="259">
        <v>0.122</v>
      </c>
      <c r="AS100" s="259">
        <v>0.123</v>
      </c>
    </row>
    <row r="101" spans="1:45" s="259" customFormat="1">
      <c r="A101" s="259" t="s">
        <v>409</v>
      </c>
      <c r="B101" s="259" t="s">
        <v>226</v>
      </c>
      <c r="C101" s="262">
        <v>48.366766666766672</v>
      </c>
      <c r="D101" s="262">
        <v>-64.516566666566661</v>
      </c>
      <c r="E101" s="263">
        <f>IF(OR(C101="",D101=""),"",ACOS((SIN(RADIANS(C101)) * SIN(RADIANS('Hydrologie-Méthode rationnelle'!$C$22))) + (COS(RADIANS(C101)) * COS(RADIANS('Hydrologie-Méthode rationnelle'!$C$22))) * (COS(RADIANS(D101) - RADIANS('Hydrologie-Méthode rationnelle'!$C$23)))) * 6371)</f>
        <v>8160.6935938120005</v>
      </c>
      <c r="F101" s="259">
        <v>8</v>
      </c>
      <c r="G101" s="259" t="s">
        <v>64</v>
      </c>
      <c r="H101" s="259" t="s">
        <v>51</v>
      </c>
      <c r="I101" s="259" t="s">
        <v>308</v>
      </c>
      <c r="J101" s="259">
        <v>29.018999999999998</v>
      </c>
      <c r="K101" s="259">
        <v>16.222000000000001</v>
      </c>
      <c r="L101" s="259">
        <v>22.440999999999999</v>
      </c>
      <c r="M101" s="259">
        <v>26.536999999999999</v>
      </c>
      <c r="N101" s="259">
        <v>30.457000000000001</v>
      </c>
      <c r="O101" s="259">
        <v>31.7</v>
      </c>
      <c r="P101" s="259">
        <v>35.524000000000001</v>
      </c>
      <c r="Q101" s="259">
        <v>39.317</v>
      </c>
      <c r="R101" s="259">
        <v>-0.57699999999999996</v>
      </c>
      <c r="S101" s="259">
        <v>-0.60199999999999998</v>
      </c>
      <c r="T101" s="259">
        <v>-0.61299999999999999</v>
      </c>
      <c r="U101" s="259">
        <v>-0.62</v>
      </c>
      <c r="V101" s="259">
        <v>-0.622</v>
      </c>
      <c r="W101" s="259">
        <v>-0.627</v>
      </c>
      <c r="X101" s="259">
        <v>-0.63100000000000001</v>
      </c>
      <c r="Y101" s="259">
        <v>17.062000000000001</v>
      </c>
      <c r="Z101" s="259">
        <v>23.172000000000001</v>
      </c>
      <c r="AA101" s="259">
        <v>27.231999999999999</v>
      </c>
      <c r="AB101" s="259">
        <v>31.13</v>
      </c>
      <c r="AC101" s="259">
        <v>32.366999999999997</v>
      </c>
      <c r="AD101" s="259">
        <v>36.179000000000002</v>
      </c>
      <c r="AE101" s="259">
        <v>39.963000000000001</v>
      </c>
      <c r="AF101" s="259">
        <v>-0.60199999999999998</v>
      </c>
      <c r="AG101" s="259">
        <v>-0.61899999999999999</v>
      </c>
      <c r="AH101" s="259">
        <v>-0.626</v>
      </c>
      <c r="AI101" s="259">
        <v>-0.63100000000000001</v>
      </c>
      <c r="AJ101" s="259">
        <v>-0.63200000000000001</v>
      </c>
      <c r="AK101" s="259">
        <v>-0.63600000000000001</v>
      </c>
      <c r="AL101" s="259">
        <v>-0.63900000000000001</v>
      </c>
      <c r="AM101" s="259">
        <v>2.9000000000000001E-2</v>
      </c>
      <c r="AN101" s="259">
        <v>1.7000000000000001E-2</v>
      </c>
      <c r="AO101" s="259">
        <v>1.4E-2</v>
      </c>
      <c r="AP101" s="259">
        <v>1.0999999999999999E-2</v>
      </c>
      <c r="AQ101" s="259">
        <v>1.0999999999999999E-2</v>
      </c>
      <c r="AR101" s="259">
        <v>8.9999999999999993E-3</v>
      </c>
      <c r="AS101" s="259">
        <v>8.0000000000000002E-3</v>
      </c>
    </row>
    <row r="102" spans="1:45" s="259" customFormat="1">
      <c r="A102" s="259" t="s">
        <v>410</v>
      </c>
      <c r="B102" s="259" t="s">
        <v>324</v>
      </c>
      <c r="C102" s="262">
        <v>49.083433333433348</v>
      </c>
      <c r="D102" s="262">
        <v>-61.699899999899998</v>
      </c>
      <c r="E102" s="263">
        <f>IF(OR(C102="",D102=""),"",ACOS((SIN(RADIANS(C102)) * SIN(RADIANS('Hydrologie-Méthode rationnelle'!$C$22))) + (COS(RADIANS(C102)) * COS(RADIANS('Hydrologie-Méthode rationnelle'!$C$22))) * (COS(RADIANS(D102) - RADIANS('Hydrologie-Méthode rationnelle'!$C$23)))) * 6371)</f>
        <v>7996.0340349276685</v>
      </c>
      <c r="F102" s="259">
        <v>7</v>
      </c>
      <c r="G102" s="259" t="s">
        <v>194</v>
      </c>
      <c r="H102" s="259" t="s">
        <v>292</v>
      </c>
      <c r="I102" s="259" t="s">
        <v>305</v>
      </c>
      <c r="J102" s="259">
        <v>23.052</v>
      </c>
      <c r="K102" s="259">
        <v>13.065</v>
      </c>
      <c r="L102" s="259">
        <v>17.472000000000001</v>
      </c>
      <c r="M102" s="259">
        <v>20.379000000000001</v>
      </c>
      <c r="N102" s="259">
        <v>23.161999999999999</v>
      </c>
      <c r="O102" s="259">
        <v>24.044</v>
      </c>
      <c r="P102" s="259">
        <v>26.76</v>
      </c>
      <c r="Q102" s="259">
        <v>29.454000000000001</v>
      </c>
      <c r="R102" s="259">
        <v>-0.61899999999999999</v>
      </c>
      <c r="S102" s="259">
        <v>-0.624</v>
      </c>
      <c r="T102" s="259">
        <v>-0.627</v>
      </c>
      <c r="U102" s="259">
        <v>-0.629</v>
      </c>
      <c r="V102" s="259">
        <v>-0.629</v>
      </c>
      <c r="W102" s="259">
        <v>-0.63</v>
      </c>
      <c r="X102" s="259">
        <v>-0.63100000000000001</v>
      </c>
      <c r="Y102" s="259">
        <v>13.558</v>
      </c>
      <c r="Z102" s="259">
        <v>17.472000000000001</v>
      </c>
      <c r="AA102" s="259">
        <v>20.379000000000001</v>
      </c>
      <c r="AB102" s="259">
        <v>23.161999999999999</v>
      </c>
      <c r="AC102" s="259">
        <v>24.044</v>
      </c>
      <c r="AD102" s="259">
        <v>26.76</v>
      </c>
      <c r="AE102" s="259">
        <v>29.454000000000001</v>
      </c>
      <c r="AF102" s="259">
        <v>-0.63700000000000001</v>
      </c>
      <c r="AG102" s="259">
        <v>-0.624</v>
      </c>
      <c r="AH102" s="259">
        <v>-0.627</v>
      </c>
      <c r="AI102" s="259">
        <v>-0.629</v>
      </c>
      <c r="AJ102" s="259">
        <v>-0.629</v>
      </c>
      <c r="AK102" s="259">
        <v>-0.63</v>
      </c>
      <c r="AL102" s="259">
        <v>-0.63100000000000001</v>
      </c>
      <c r="AM102" s="259">
        <v>0.02</v>
      </c>
      <c r="AN102" s="259">
        <v>0</v>
      </c>
      <c r="AO102" s="259">
        <v>0</v>
      </c>
      <c r="AP102" s="259">
        <v>0</v>
      </c>
      <c r="AQ102" s="259">
        <v>0</v>
      </c>
      <c r="AR102" s="259">
        <v>0</v>
      </c>
      <c r="AS102" s="259">
        <v>0</v>
      </c>
    </row>
    <row r="103" spans="1:45" s="259" customFormat="1">
      <c r="A103" s="259" t="s">
        <v>411</v>
      </c>
      <c r="B103" s="259" t="s">
        <v>227</v>
      </c>
      <c r="C103" s="262">
        <v>48.266766666766678</v>
      </c>
      <c r="D103" s="262">
        <v>-67.566566666566658</v>
      </c>
      <c r="E103" s="263">
        <f>IF(OR(C103="",D103=""),"",ACOS((SIN(RADIANS(C103)) * SIN(RADIANS('Hydrologie-Méthode rationnelle'!$C$22))) + (COS(RADIANS(C103)) * COS(RADIANS('Hydrologie-Méthode rationnelle'!$C$22))) * (COS(RADIANS(D103) - RADIANS('Hydrologie-Méthode rationnelle'!$C$23)))) * 6371)</f>
        <v>8371.2278347827596</v>
      </c>
      <c r="F103" s="259">
        <v>235</v>
      </c>
      <c r="G103" s="259" t="s">
        <v>54</v>
      </c>
      <c r="H103" s="259" t="s">
        <v>55</v>
      </c>
      <c r="I103" s="259" t="s">
        <v>309</v>
      </c>
      <c r="J103" s="259">
        <v>37.058999999999997</v>
      </c>
      <c r="K103" s="259">
        <v>17.712</v>
      </c>
      <c r="L103" s="259">
        <v>24.244</v>
      </c>
      <c r="M103" s="259">
        <v>28.562999999999999</v>
      </c>
      <c r="N103" s="259">
        <v>32.703000000000003</v>
      </c>
      <c r="O103" s="259">
        <v>34.015000000000001</v>
      </c>
      <c r="P103" s="259">
        <v>38.058999999999997</v>
      </c>
      <c r="Q103" s="259">
        <v>42.070999999999998</v>
      </c>
      <c r="R103" s="259">
        <v>-0.65600000000000003</v>
      </c>
      <c r="S103" s="259">
        <v>-0.66500000000000004</v>
      </c>
      <c r="T103" s="259">
        <v>-0.66800000000000004</v>
      </c>
      <c r="U103" s="259">
        <v>-0.67100000000000004</v>
      </c>
      <c r="V103" s="259">
        <v>-0.67200000000000004</v>
      </c>
      <c r="W103" s="259">
        <v>-0.67400000000000004</v>
      </c>
      <c r="X103" s="259">
        <v>-0.67500000000000004</v>
      </c>
      <c r="Y103" s="259">
        <v>19.233000000000001</v>
      </c>
      <c r="Z103" s="259">
        <v>26.724</v>
      </c>
      <c r="AA103" s="259">
        <v>31.710999999999999</v>
      </c>
      <c r="AB103" s="259">
        <v>36.506999999999998</v>
      </c>
      <c r="AC103" s="259">
        <v>38.03</v>
      </c>
      <c r="AD103" s="259">
        <v>42.728999999999999</v>
      </c>
      <c r="AE103" s="259">
        <v>47.399000000000001</v>
      </c>
      <c r="AF103" s="259">
        <v>-0.69699999999999995</v>
      </c>
      <c r="AG103" s="259">
        <v>-0.71299999999999997</v>
      </c>
      <c r="AH103" s="259">
        <v>-0.72099999999999997</v>
      </c>
      <c r="AI103" s="259">
        <v>-0.72599999999999998</v>
      </c>
      <c r="AJ103" s="259">
        <v>-0.72699999999999998</v>
      </c>
      <c r="AK103" s="259">
        <v>-0.73099999999999998</v>
      </c>
      <c r="AL103" s="259">
        <v>-0.73399999999999999</v>
      </c>
      <c r="AM103" s="259">
        <v>4.2999999999999997E-2</v>
      </c>
      <c r="AN103" s="259">
        <v>0.05</v>
      </c>
      <c r="AO103" s="259">
        <v>5.3999999999999999E-2</v>
      </c>
      <c r="AP103" s="259">
        <v>5.7000000000000002E-2</v>
      </c>
      <c r="AQ103" s="259">
        <v>5.8000000000000003E-2</v>
      </c>
      <c r="AR103" s="259">
        <v>0.06</v>
      </c>
      <c r="AS103" s="259">
        <v>6.2E-2</v>
      </c>
    </row>
    <row r="104" spans="1:45" s="259" customFormat="1">
      <c r="A104" s="259" t="s">
        <v>402</v>
      </c>
      <c r="B104" s="259" t="s">
        <v>228</v>
      </c>
      <c r="C104" s="262">
        <v>47.416766666766662</v>
      </c>
      <c r="D104" s="262">
        <v>-61.766566666566668</v>
      </c>
      <c r="E104" s="263">
        <f>IF(OR(C104="",D104=""),"",ACOS((SIN(RADIANS(C104)) * SIN(RADIANS('Hydrologie-Méthode rationnelle'!$C$22))) + (COS(RADIANS(C104)) * COS(RADIANS('Hydrologie-Méthode rationnelle'!$C$22))) * (COS(RADIANS(D104) - RADIANS('Hydrologie-Méthode rationnelle'!$C$23)))) * 6371)</f>
        <v>7931.6189234983885</v>
      </c>
      <c r="F104" s="259">
        <v>7</v>
      </c>
      <c r="G104" s="259" t="s">
        <v>229</v>
      </c>
      <c r="H104" s="259" t="s">
        <v>292</v>
      </c>
      <c r="I104" s="259" t="s">
        <v>299</v>
      </c>
      <c r="J104" s="259">
        <v>33.177999999999997</v>
      </c>
      <c r="K104" s="259">
        <v>16.094000000000001</v>
      </c>
      <c r="L104" s="259">
        <v>22.492000000000001</v>
      </c>
      <c r="M104" s="259">
        <v>26.716000000000001</v>
      </c>
      <c r="N104" s="259">
        <v>30.762</v>
      </c>
      <c r="O104" s="259">
        <v>32.043999999999997</v>
      </c>
      <c r="P104" s="259">
        <v>35.994</v>
      </c>
      <c r="Q104" s="259">
        <v>39.912999999999997</v>
      </c>
      <c r="R104" s="259">
        <v>-0.59299999999999997</v>
      </c>
      <c r="S104" s="259">
        <v>-0.60699999999999998</v>
      </c>
      <c r="T104" s="259">
        <v>-0.61299999999999999</v>
      </c>
      <c r="U104" s="259">
        <v>-0.61699999999999999</v>
      </c>
      <c r="V104" s="259">
        <v>-0.61799999999999999</v>
      </c>
      <c r="W104" s="259">
        <v>-0.621</v>
      </c>
      <c r="X104" s="259">
        <v>-0.623</v>
      </c>
      <c r="Y104" s="259">
        <v>18.780999999999999</v>
      </c>
      <c r="Z104" s="259">
        <v>24.887</v>
      </c>
      <c r="AA104" s="259">
        <v>29.042999999999999</v>
      </c>
      <c r="AB104" s="259">
        <v>33.064</v>
      </c>
      <c r="AC104" s="259">
        <v>34.344000000000001</v>
      </c>
      <c r="AD104" s="259">
        <v>38.295000000000002</v>
      </c>
      <c r="AE104" s="259">
        <v>42.225999999999999</v>
      </c>
      <c r="AF104" s="259">
        <v>-0.66900000000000004</v>
      </c>
      <c r="AG104" s="259">
        <v>-0.65800000000000003</v>
      </c>
      <c r="AH104" s="259">
        <v>-0.65500000000000003</v>
      </c>
      <c r="AI104" s="259">
        <v>-0.65300000000000002</v>
      </c>
      <c r="AJ104" s="259">
        <v>-0.65300000000000002</v>
      </c>
      <c r="AK104" s="259">
        <v>-0.65200000000000002</v>
      </c>
      <c r="AL104" s="259">
        <v>-0.65200000000000002</v>
      </c>
      <c r="AM104" s="259">
        <v>9.5000000000000001E-2</v>
      </c>
      <c r="AN104" s="259">
        <v>5.8000000000000003E-2</v>
      </c>
      <c r="AO104" s="259">
        <v>4.7E-2</v>
      </c>
      <c r="AP104" s="259">
        <v>0.04</v>
      </c>
      <c r="AQ104" s="259">
        <v>3.7999999999999999E-2</v>
      </c>
      <c r="AR104" s="259">
        <v>3.3000000000000002E-2</v>
      </c>
      <c r="AS104" s="259">
        <v>0.03</v>
      </c>
    </row>
    <row r="105" spans="1:45" s="259" customFormat="1">
      <c r="A105" s="259" t="s">
        <v>412</v>
      </c>
      <c r="B105" s="259" t="s">
        <v>230</v>
      </c>
      <c r="C105" s="262">
        <v>47.350100000100007</v>
      </c>
      <c r="D105" s="262">
        <v>-70.016566666566661</v>
      </c>
      <c r="E105" s="263">
        <f>IF(OR(C105="",D105=""),"",ACOS((SIN(RADIANS(C105)) * SIN(RADIANS('Hydrologie-Méthode rationnelle'!$C$22))) + (COS(RADIANS(C105)) * COS(RADIANS('Hydrologie-Méthode rationnelle'!$C$22))) * (COS(RADIANS(D105) - RADIANS('Hydrologie-Méthode rationnelle'!$C$23)))) * 6371)</f>
        <v>8518.8910277772302</v>
      </c>
      <c r="F105" s="259">
        <v>31</v>
      </c>
      <c r="G105" s="259" t="s">
        <v>172</v>
      </c>
      <c r="H105" s="259" t="s">
        <v>292</v>
      </c>
      <c r="I105" s="259" t="s">
        <v>325</v>
      </c>
      <c r="J105" s="259">
        <v>36.222999999999999</v>
      </c>
      <c r="K105" s="259">
        <v>16.594000000000001</v>
      </c>
      <c r="L105" s="259">
        <v>22.971</v>
      </c>
      <c r="M105" s="259">
        <v>27.186</v>
      </c>
      <c r="N105" s="259">
        <v>31.227</v>
      </c>
      <c r="O105" s="259">
        <v>32.508000000000003</v>
      </c>
      <c r="P105" s="259">
        <v>36.454999999999998</v>
      </c>
      <c r="Q105" s="259">
        <v>40.372</v>
      </c>
      <c r="R105" s="259">
        <v>-0.66100000000000003</v>
      </c>
      <c r="S105" s="259">
        <v>-0.65700000000000003</v>
      </c>
      <c r="T105" s="259">
        <v>-0.65500000000000003</v>
      </c>
      <c r="U105" s="259">
        <v>-0.65400000000000003</v>
      </c>
      <c r="V105" s="259">
        <v>-0.65400000000000003</v>
      </c>
      <c r="W105" s="259">
        <v>-0.65300000000000002</v>
      </c>
      <c r="X105" s="259">
        <v>-0.65200000000000002</v>
      </c>
      <c r="Y105" s="259">
        <v>17.704000000000001</v>
      </c>
      <c r="Z105" s="259">
        <v>25.332000000000001</v>
      </c>
      <c r="AA105" s="259">
        <v>30.44</v>
      </c>
      <c r="AB105" s="259">
        <v>35.366999999999997</v>
      </c>
      <c r="AC105" s="259">
        <v>36.933999999999997</v>
      </c>
      <c r="AD105" s="259">
        <v>41.773000000000003</v>
      </c>
      <c r="AE105" s="259">
        <v>46.588000000000001</v>
      </c>
      <c r="AF105" s="259">
        <v>-0.69399999999999995</v>
      </c>
      <c r="AG105" s="259">
        <v>-0.70599999999999996</v>
      </c>
      <c r="AH105" s="259">
        <v>-0.71199999999999997</v>
      </c>
      <c r="AI105" s="259">
        <v>-0.71599999999999997</v>
      </c>
      <c r="AJ105" s="259">
        <v>-0.71699999999999997</v>
      </c>
      <c r="AK105" s="259">
        <v>-0.72</v>
      </c>
      <c r="AL105" s="259">
        <v>-0.72299999999999998</v>
      </c>
      <c r="AM105" s="259">
        <v>3.3000000000000002E-2</v>
      </c>
      <c r="AN105" s="259">
        <v>5.0999999999999997E-2</v>
      </c>
      <c r="AO105" s="259">
        <v>0.06</v>
      </c>
      <c r="AP105" s="259">
        <v>6.7000000000000004E-2</v>
      </c>
      <c r="AQ105" s="259">
        <v>6.9000000000000006E-2</v>
      </c>
      <c r="AR105" s="259">
        <v>7.3999999999999996E-2</v>
      </c>
      <c r="AS105" s="259">
        <v>7.9000000000000001E-2</v>
      </c>
    </row>
    <row r="106" spans="1:45" s="259" customFormat="1">
      <c r="A106" s="259" t="s">
        <v>231</v>
      </c>
      <c r="B106" s="259" t="s">
        <v>232</v>
      </c>
      <c r="C106" s="262">
        <v>48.850100000100007</v>
      </c>
      <c r="D106" s="262">
        <v>-67.466566666566663</v>
      </c>
      <c r="E106" s="263">
        <f>IF(OR(C106="",D106=""),"",ACOS((SIN(RADIANS(C106)) * SIN(RADIANS('Hydrologie-Méthode rationnelle'!$C$22))) + (COS(RADIANS(C106)) * COS(RADIANS('Hydrologie-Méthode rationnelle'!$C$22))) * (COS(RADIANS(D106) - RADIANS('Hydrologie-Méthode rationnelle'!$C$23)))) * 6371)</f>
        <v>8383.4192285559784</v>
      </c>
      <c r="F106" s="259">
        <v>30</v>
      </c>
      <c r="G106" s="259" t="s">
        <v>92</v>
      </c>
      <c r="H106" s="259" t="s">
        <v>151</v>
      </c>
      <c r="I106" s="259" t="s">
        <v>317</v>
      </c>
      <c r="J106" s="259">
        <v>32.082999999999998</v>
      </c>
      <c r="K106" s="259">
        <v>15.074</v>
      </c>
      <c r="L106" s="259">
        <v>19.370999999999999</v>
      </c>
      <c r="M106" s="259">
        <v>22.2</v>
      </c>
      <c r="N106" s="259">
        <v>24.907</v>
      </c>
      <c r="O106" s="259">
        <v>25.765000000000001</v>
      </c>
      <c r="P106" s="259">
        <v>28.404</v>
      </c>
      <c r="Q106" s="259">
        <v>31.021000000000001</v>
      </c>
      <c r="R106" s="259">
        <v>-0.66500000000000004</v>
      </c>
      <c r="S106" s="259">
        <v>-0.67200000000000004</v>
      </c>
      <c r="T106" s="259">
        <v>-0.67600000000000005</v>
      </c>
      <c r="U106" s="259">
        <v>-0.67800000000000005</v>
      </c>
      <c r="V106" s="259">
        <v>-0.67900000000000005</v>
      </c>
      <c r="W106" s="259">
        <v>-0.68</v>
      </c>
      <c r="X106" s="259">
        <v>-0.68200000000000005</v>
      </c>
      <c r="Y106" s="259">
        <v>17.614000000000001</v>
      </c>
      <c r="Z106" s="259">
        <v>23.561</v>
      </c>
      <c r="AA106" s="259">
        <v>27.58</v>
      </c>
      <c r="AB106" s="259">
        <v>31.48</v>
      </c>
      <c r="AC106" s="259">
        <v>32.725999999999999</v>
      </c>
      <c r="AD106" s="259">
        <v>36.582000000000001</v>
      </c>
      <c r="AE106" s="259">
        <v>40.436</v>
      </c>
      <c r="AF106" s="259">
        <v>-0.74199999999999999</v>
      </c>
      <c r="AG106" s="259">
        <v>-0.76800000000000002</v>
      </c>
      <c r="AH106" s="259">
        <v>-0.78</v>
      </c>
      <c r="AI106" s="259">
        <v>-0.79100000000000004</v>
      </c>
      <c r="AJ106" s="259">
        <v>-0.79400000000000004</v>
      </c>
      <c r="AK106" s="259">
        <v>-0.80100000000000005</v>
      </c>
      <c r="AL106" s="259">
        <v>-0.80800000000000005</v>
      </c>
      <c r="AM106" s="259">
        <v>8.4000000000000005E-2</v>
      </c>
      <c r="AN106" s="259">
        <v>0.108</v>
      </c>
      <c r="AO106" s="259">
        <v>0.121</v>
      </c>
      <c r="AP106" s="259">
        <v>0.13200000000000001</v>
      </c>
      <c r="AQ106" s="259">
        <v>0.13500000000000001</v>
      </c>
      <c r="AR106" s="259">
        <v>0.14299999999999999</v>
      </c>
      <c r="AS106" s="259">
        <v>0.151</v>
      </c>
    </row>
    <row r="107" spans="1:45" s="259" customFormat="1">
      <c r="A107" s="259" t="s">
        <v>233</v>
      </c>
      <c r="B107" s="259" t="s">
        <v>234</v>
      </c>
      <c r="C107" s="262">
        <v>48.950100000100008</v>
      </c>
      <c r="D107" s="262">
        <v>-65.516566666566661</v>
      </c>
      <c r="E107" s="263">
        <f>IF(OR(C107="",D107=""),"",ACOS((SIN(RADIANS(C107)) * SIN(RADIANS('Hydrologie-Méthode rationnelle'!$C$22))) + (COS(RADIANS(C107)) * COS(RADIANS('Hydrologie-Méthode rationnelle'!$C$22))) * (COS(RADIANS(D107) - RADIANS('Hydrologie-Méthode rationnelle'!$C$23)))) * 6371)</f>
        <v>8251.4403986505004</v>
      </c>
      <c r="F107" s="259">
        <v>574</v>
      </c>
      <c r="G107" s="259" t="s">
        <v>69</v>
      </c>
      <c r="H107" s="259" t="s">
        <v>151</v>
      </c>
      <c r="I107" s="259" t="s">
        <v>296</v>
      </c>
      <c r="J107" s="259">
        <v>24.86</v>
      </c>
      <c r="K107" s="259">
        <v>13.935</v>
      </c>
      <c r="L107" s="259">
        <v>18.524999999999999</v>
      </c>
      <c r="M107" s="259">
        <v>21.56</v>
      </c>
      <c r="N107" s="259">
        <v>24.47</v>
      </c>
      <c r="O107" s="259">
        <v>25.391999999999999</v>
      </c>
      <c r="P107" s="259">
        <v>28.234999999999999</v>
      </c>
      <c r="Q107" s="259">
        <v>31.055</v>
      </c>
      <c r="R107" s="259">
        <v>-0.629</v>
      </c>
      <c r="S107" s="259">
        <v>-0.623</v>
      </c>
      <c r="T107" s="259">
        <v>-0.621</v>
      </c>
      <c r="U107" s="259">
        <v>-0.62</v>
      </c>
      <c r="V107" s="259">
        <v>-0.61899999999999999</v>
      </c>
      <c r="W107" s="259">
        <v>-0.61799999999999999</v>
      </c>
      <c r="X107" s="259">
        <v>-0.61699999999999999</v>
      </c>
      <c r="Y107" s="259">
        <v>14.464</v>
      </c>
      <c r="Z107" s="259">
        <v>18.952000000000002</v>
      </c>
      <c r="AA107" s="259">
        <v>21.928000000000001</v>
      </c>
      <c r="AB107" s="259">
        <v>24.783999999999999</v>
      </c>
      <c r="AC107" s="259">
        <v>25.690999999999999</v>
      </c>
      <c r="AD107" s="259">
        <v>28.483000000000001</v>
      </c>
      <c r="AE107" s="259">
        <v>31.254999999999999</v>
      </c>
      <c r="AF107" s="259">
        <v>-0.64800000000000002</v>
      </c>
      <c r="AG107" s="259">
        <v>-0.63500000000000001</v>
      </c>
      <c r="AH107" s="259">
        <v>-0.63</v>
      </c>
      <c r="AI107" s="259">
        <v>-0.626</v>
      </c>
      <c r="AJ107" s="259">
        <v>-0.625</v>
      </c>
      <c r="AK107" s="259">
        <v>-0.623</v>
      </c>
      <c r="AL107" s="259">
        <v>-0.62</v>
      </c>
      <c r="AM107" s="259">
        <v>1.9E-2</v>
      </c>
      <c r="AN107" s="259">
        <v>1.2E-2</v>
      </c>
      <c r="AO107" s="259">
        <v>8.9999999999999993E-3</v>
      </c>
      <c r="AP107" s="259">
        <v>7.0000000000000001E-3</v>
      </c>
      <c r="AQ107" s="259">
        <v>6.0000000000000001E-3</v>
      </c>
      <c r="AR107" s="259">
        <v>4.0000000000000001E-3</v>
      </c>
      <c r="AS107" s="259">
        <v>3.0000000000000001E-3</v>
      </c>
    </row>
    <row r="108" spans="1:45" s="259" customFormat="1">
      <c r="A108" s="259" t="s">
        <v>413</v>
      </c>
      <c r="B108" s="259" t="s">
        <v>235</v>
      </c>
      <c r="C108" s="262">
        <v>47.600100000100007</v>
      </c>
      <c r="D108" s="262">
        <v>-68.799899999899992</v>
      </c>
      <c r="E108" s="263">
        <f>IF(OR(C108="",D108=""),"",ACOS((SIN(RADIANS(C108)) * SIN(RADIANS('Hydrologie-Méthode rationnelle'!$C$22))) + (COS(RADIANS(C108)) * COS(RADIANS('Hydrologie-Méthode rationnelle'!$C$22))) * (COS(RADIANS(D108) - RADIANS('Hydrologie-Méthode rationnelle'!$C$23)))) * 6371)</f>
        <v>8438.1844958246529</v>
      </c>
      <c r="F108" s="259">
        <v>320</v>
      </c>
      <c r="G108" s="259" t="s">
        <v>157</v>
      </c>
      <c r="H108" s="259" t="s">
        <v>55</v>
      </c>
      <c r="I108" s="259" t="s">
        <v>317</v>
      </c>
      <c r="J108" s="259">
        <v>41.48</v>
      </c>
      <c r="K108" s="259">
        <v>19.119</v>
      </c>
      <c r="L108" s="259">
        <v>25.995999999999999</v>
      </c>
      <c r="M108" s="259">
        <v>30.523</v>
      </c>
      <c r="N108" s="259">
        <v>34.853999999999999</v>
      </c>
      <c r="O108" s="259">
        <v>36.226999999999997</v>
      </c>
      <c r="P108" s="259">
        <v>40.451000000000001</v>
      </c>
      <c r="Q108" s="259">
        <v>44.639000000000003</v>
      </c>
      <c r="R108" s="259">
        <v>-0.68700000000000006</v>
      </c>
      <c r="S108" s="259">
        <v>-0.69699999999999995</v>
      </c>
      <c r="T108" s="259">
        <v>-0.70199999999999996</v>
      </c>
      <c r="U108" s="259">
        <v>-0.70499999999999996</v>
      </c>
      <c r="V108" s="259">
        <v>-0.70599999999999996</v>
      </c>
      <c r="W108" s="259">
        <v>-0.70899999999999996</v>
      </c>
      <c r="X108" s="259">
        <v>-0.71099999999999997</v>
      </c>
      <c r="Y108" s="259">
        <v>21.876999999999999</v>
      </c>
      <c r="Z108" s="259">
        <v>33.073999999999998</v>
      </c>
      <c r="AA108" s="259">
        <v>41.061</v>
      </c>
      <c r="AB108" s="259">
        <v>49.042000000000002</v>
      </c>
      <c r="AC108" s="259">
        <v>51.628</v>
      </c>
      <c r="AD108" s="259">
        <v>59.734999999999999</v>
      </c>
      <c r="AE108" s="259">
        <v>67.960999999999999</v>
      </c>
      <c r="AF108" s="259">
        <v>-0.754</v>
      </c>
      <c r="AG108" s="259">
        <v>-0.81399999999999995</v>
      </c>
      <c r="AH108" s="259">
        <v>-0.84299999999999997</v>
      </c>
      <c r="AI108" s="259">
        <v>-0.86599999999999999</v>
      </c>
      <c r="AJ108" s="259">
        <v>-0.873</v>
      </c>
      <c r="AK108" s="259">
        <v>-0.89100000000000001</v>
      </c>
      <c r="AL108" s="259">
        <v>-0.90600000000000003</v>
      </c>
      <c r="AM108" s="259">
        <v>6.9000000000000006E-2</v>
      </c>
      <c r="AN108" s="259">
        <v>0.13100000000000001</v>
      </c>
      <c r="AO108" s="259">
        <v>0.16600000000000001</v>
      </c>
      <c r="AP108" s="259">
        <v>0.19500000000000001</v>
      </c>
      <c r="AQ108" s="259">
        <v>0.20300000000000001</v>
      </c>
      <c r="AR108" s="259">
        <v>0.22700000000000001</v>
      </c>
      <c r="AS108" s="259">
        <v>0.247</v>
      </c>
    </row>
    <row r="109" spans="1:45" s="259" customFormat="1">
      <c r="A109" s="259" t="s">
        <v>236</v>
      </c>
      <c r="B109" s="259" t="s">
        <v>237</v>
      </c>
      <c r="C109" s="262">
        <v>48.100100000100007</v>
      </c>
      <c r="D109" s="262">
        <v>-66.299899999899992</v>
      </c>
      <c r="E109" s="263">
        <f>IF(OR(C109="",D109=""),"",ACOS((SIN(RADIANS(C109)) * SIN(RADIANS('Hydrologie-Méthode rationnelle'!$C$22))) + (COS(RADIANS(C109)) * COS(RADIANS('Hydrologie-Méthode rationnelle'!$C$22))) * (COS(RADIANS(D109) - RADIANS('Hydrologie-Méthode rationnelle'!$C$23)))) * 6371)</f>
        <v>8276.1135036846445</v>
      </c>
      <c r="F109" s="259">
        <v>7</v>
      </c>
      <c r="G109" s="259" t="s">
        <v>61</v>
      </c>
      <c r="H109" s="259" t="s">
        <v>55</v>
      </c>
      <c r="I109" s="259" t="s">
        <v>316</v>
      </c>
      <c r="J109" s="259">
        <v>23.157</v>
      </c>
      <c r="K109" s="259">
        <v>13.337999999999999</v>
      </c>
      <c r="L109" s="259">
        <v>17.603999999999999</v>
      </c>
      <c r="M109" s="259">
        <v>20.416</v>
      </c>
      <c r="N109" s="259">
        <v>23.108000000000001</v>
      </c>
      <c r="O109" s="259">
        <v>23.960999999999999</v>
      </c>
      <c r="P109" s="259">
        <v>26.587</v>
      </c>
      <c r="Q109" s="259">
        <v>29.192</v>
      </c>
      <c r="R109" s="259">
        <v>-0.61199999999999999</v>
      </c>
      <c r="S109" s="259">
        <v>-0.626</v>
      </c>
      <c r="T109" s="259">
        <v>-0.63100000000000001</v>
      </c>
      <c r="U109" s="259">
        <v>-0.63500000000000001</v>
      </c>
      <c r="V109" s="259">
        <v>-0.63700000000000001</v>
      </c>
      <c r="W109" s="259">
        <v>-0.64</v>
      </c>
      <c r="X109" s="259">
        <v>-0.64200000000000002</v>
      </c>
      <c r="Y109" s="259">
        <v>14.284000000000001</v>
      </c>
      <c r="Z109" s="259">
        <v>18.158000000000001</v>
      </c>
      <c r="AA109" s="259">
        <v>20.768999999999998</v>
      </c>
      <c r="AB109" s="259">
        <v>23.288</v>
      </c>
      <c r="AC109" s="259">
        <v>24.088000000000001</v>
      </c>
      <c r="AD109" s="259">
        <v>26.587</v>
      </c>
      <c r="AE109" s="259">
        <v>29.192</v>
      </c>
      <c r="AF109" s="259">
        <v>-0.64700000000000002</v>
      </c>
      <c r="AG109" s="259">
        <v>-0.64100000000000001</v>
      </c>
      <c r="AH109" s="259">
        <v>-0.64</v>
      </c>
      <c r="AI109" s="259">
        <v>-0.63900000000000001</v>
      </c>
      <c r="AJ109" s="259">
        <v>-0.63900000000000001</v>
      </c>
      <c r="AK109" s="259">
        <v>-0.64</v>
      </c>
      <c r="AL109" s="259">
        <v>-0.64200000000000002</v>
      </c>
      <c r="AM109" s="259">
        <v>3.7999999999999999E-2</v>
      </c>
      <c r="AN109" s="259">
        <v>1.6E-2</v>
      </c>
      <c r="AO109" s="259">
        <v>8.9999999999999993E-3</v>
      </c>
      <c r="AP109" s="259">
        <v>4.0000000000000001E-3</v>
      </c>
      <c r="AQ109" s="259">
        <v>3.0000000000000001E-3</v>
      </c>
      <c r="AR109" s="259">
        <v>0</v>
      </c>
      <c r="AS109" s="259">
        <v>0</v>
      </c>
    </row>
    <row r="110" spans="1:45" s="259" customFormat="1">
      <c r="A110" s="259" t="s">
        <v>238</v>
      </c>
      <c r="B110" s="259" t="s">
        <v>239</v>
      </c>
      <c r="C110" s="262">
        <v>49.833433333433348</v>
      </c>
      <c r="D110" s="262">
        <v>-64.283233333233326</v>
      </c>
      <c r="E110" s="263">
        <f>IF(OR(C110="",D110=""),"",ACOS((SIN(RADIANS(C110)) * SIN(RADIANS('Hydrologie-Méthode rationnelle'!$C$22))) + (COS(RADIANS(C110)) * COS(RADIANS('Hydrologie-Méthode rationnelle'!$C$22))) * (COS(RADIANS(D110) - RADIANS('Hydrologie-Méthode rationnelle'!$C$23)))) * 6371)</f>
        <v>8200.2521020200365</v>
      </c>
      <c r="F110" s="259">
        <v>55</v>
      </c>
      <c r="G110" s="259" t="s">
        <v>54</v>
      </c>
      <c r="H110" s="259" t="s">
        <v>292</v>
      </c>
      <c r="I110" s="259" t="s">
        <v>298</v>
      </c>
      <c r="J110" s="259">
        <v>27.696999999999999</v>
      </c>
      <c r="K110" s="259">
        <v>14.438000000000001</v>
      </c>
      <c r="L110" s="259">
        <v>19.568999999999999</v>
      </c>
      <c r="M110" s="259">
        <v>22.891999999999999</v>
      </c>
      <c r="N110" s="259">
        <v>26.047999999999998</v>
      </c>
      <c r="O110" s="259">
        <v>27.044</v>
      </c>
      <c r="P110" s="259">
        <v>30.100999999999999</v>
      </c>
      <c r="Q110" s="259">
        <v>33.122</v>
      </c>
      <c r="R110" s="259">
        <v>-0.58299999999999996</v>
      </c>
      <c r="S110" s="259">
        <v>-0.63500000000000001</v>
      </c>
      <c r="T110" s="259">
        <v>-0.65700000000000003</v>
      </c>
      <c r="U110" s="259">
        <v>-0.67300000000000004</v>
      </c>
      <c r="V110" s="259">
        <v>-0.67800000000000005</v>
      </c>
      <c r="W110" s="259">
        <v>-0.69</v>
      </c>
      <c r="X110" s="259">
        <v>-0.69899999999999995</v>
      </c>
      <c r="Y110" s="259">
        <v>15.766999999999999</v>
      </c>
      <c r="Z110" s="259">
        <v>21.178999999999998</v>
      </c>
      <c r="AA110" s="259">
        <v>24.745999999999999</v>
      </c>
      <c r="AB110" s="259">
        <v>28.154</v>
      </c>
      <c r="AC110" s="259">
        <v>29.233000000000001</v>
      </c>
      <c r="AD110" s="259">
        <v>32.551000000000002</v>
      </c>
      <c r="AE110" s="259">
        <v>35.837000000000003</v>
      </c>
      <c r="AF110" s="259">
        <v>-0.626</v>
      </c>
      <c r="AG110" s="259">
        <v>-0.67500000000000004</v>
      </c>
      <c r="AH110" s="259">
        <v>-0.69599999999999995</v>
      </c>
      <c r="AI110" s="259">
        <v>-0.71299999999999997</v>
      </c>
      <c r="AJ110" s="259">
        <v>-0.71699999999999997</v>
      </c>
      <c r="AK110" s="259">
        <v>-0.72899999999999998</v>
      </c>
      <c r="AL110" s="259">
        <v>-0.73899999999999999</v>
      </c>
      <c r="AM110" s="259">
        <v>5.1999999999999998E-2</v>
      </c>
      <c r="AN110" s="259">
        <v>4.2000000000000003E-2</v>
      </c>
      <c r="AO110" s="259">
        <v>0.04</v>
      </c>
      <c r="AP110" s="259">
        <v>3.9E-2</v>
      </c>
      <c r="AQ110" s="259">
        <v>3.9E-2</v>
      </c>
      <c r="AR110" s="259">
        <v>3.7999999999999999E-2</v>
      </c>
      <c r="AS110" s="259">
        <v>3.7999999999999999E-2</v>
      </c>
    </row>
    <row r="111" spans="1:45" s="259" customFormat="1">
      <c r="A111" s="259" t="s">
        <v>240</v>
      </c>
      <c r="B111" s="259" t="s">
        <v>241</v>
      </c>
      <c r="C111" s="262">
        <v>48.450100000100008</v>
      </c>
      <c r="D111" s="262">
        <v>-68.516566666566661</v>
      </c>
      <c r="E111" s="263">
        <f>IF(OR(C111="",D111=""),"",ACOS((SIN(RADIANS(C111)) * SIN(RADIANS('Hydrologie-Méthode rationnelle'!$C$22))) + (COS(RADIANS(C111)) * COS(RADIANS('Hydrologie-Méthode rationnelle'!$C$22))) * (COS(RADIANS(D111) - RADIANS('Hydrologie-Méthode rationnelle'!$C$23)))) * 6371)</f>
        <v>8444.3152656143502</v>
      </c>
      <c r="F111" s="259">
        <v>35</v>
      </c>
      <c r="G111" s="259" t="s">
        <v>242</v>
      </c>
      <c r="H111" s="259" t="s">
        <v>55</v>
      </c>
      <c r="I111" s="259" t="s">
        <v>295</v>
      </c>
      <c r="J111" s="259">
        <v>31.747</v>
      </c>
      <c r="K111" s="259">
        <v>14.747</v>
      </c>
      <c r="L111" s="259">
        <v>20.512</v>
      </c>
      <c r="M111" s="259">
        <v>24.323</v>
      </c>
      <c r="N111" s="259">
        <v>27.975999999999999</v>
      </c>
      <c r="O111" s="259">
        <v>29.134</v>
      </c>
      <c r="P111" s="259">
        <v>32.701000000000001</v>
      </c>
      <c r="Q111" s="259">
        <v>36.241999999999997</v>
      </c>
      <c r="R111" s="259">
        <v>-0.627</v>
      </c>
      <c r="S111" s="259">
        <v>-0.64200000000000002</v>
      </c>
      <c r="T111" s="259">
        <v>-0.64700000000000002</v>
      </c>
      <c r="U111" s="259">
        <v>-0.65100000000000002</v>
      </c>
      <c r="V111" s="259">
        <v>-0.65200000000000002</v>
      </c>
      <c r="W111" s="259">
        <v>-0.65500000000000003</v>
      </c>
      <c r="X111" s="259">
        <v>-0.65800000000000003</v>
      </c>
      <c r="Y111" s="259">
        <v>17.167000000000002</v>
      </c>
      <c r="Z111" s="259">
        <v>24.076000000000001</v>
      </c>
      <c r="AA111" s="259">
        <v>28.655000000000001</v>
      </c>
      <c r="AB111" s="259">
        <v>33.048999999999999</v>
      </c>
      <c r="AC111" s="259">
        <v>34.442999999999998</v>
      </c>
      <c r="AD111" s="259">
        <v>38.738999999999997</v>
      </c>
      <c r="AE111" s="259">
        <v>43.003999999999998</v>
      </c>
      <c r="AF111" s="259">
        <v>-0.70199999999999996</v>
      </c>
      <c r="AG111" s="259">
        <v>-0.72</v>
      </c>
      <c r="AH111" s="259">
        <v>-0.72699999999999998</v>
      </c>
      <c r="AI111" s="259">
        <v>-0.73299999999999998</v>
      </c>
      <c r="AJ111" s="259">
        <v>-0.73399999999999999</v>
      </c>
      <c r="AK111" s="259">
        <v>-0.73799999999999999</v>
      </c>
      <c r="AL111" s="259">
        <v>-0.74099999999999999</v>
      </c>
      <c r="AM111" s="259">
        <v>8.7999999999999995E-2</v>
      </c>
      <c r="AN111" s="259">
        <v>9.0999999999999998E-2</v>
      </c>
      <c r="AO111" s="259">
        <v>9.1999999999999998E-2</v>
      </c>
      <c r="AP111" s="259">
        <v>9.2999999999999999E-2</v>
      </c>
      <c r="AQ111" s="259">
        <v>9.4E-2</v>
      </c>
      <c r="AR111" s="259">
        <v>9.5000000000000001E-2</v>
      </c>
      <c r="AS111" s="259">
        <v>9.5000000000000001E-2</v>
      </c>
    </row>
    <row r="112" spans="1:45" s="259" customFormat="1">
      <c r="A112" s="259" t="s">
        <v>414</v>
      </c>
      <c r="B112" s="259" t="s">
        <v>243</v>
      </c>
      <c r="C112" s="262">
        <v>49.016766666766678</v>
      </c>
      <c r="D112" s="262">
        <v>-64.399899999900001</v>
      </c>
      <c r="E112" s="263">
        <f>IF(OR(C112="",D112=""),"",ACOS((SIN(RADIANS(C112)) * SIN(RADIANS('Hydrologie-Méthode rationnelle'!$C$22))) + (COS(RADIANS(C112)) * COS(RADIANS('Hydrologie-Méthode rationnelle'!$C$22))) * (COS(RADIANS(D112) - RADIANS('Hydrologie-Méthode rationnelle'!$C$23)))) * 6371)</f>
        <v>8177.0526457003734</v>
      </c>
      <c r="F112" s="259">
        <v>40</v>
      </c>
      <c r="G112" s="259" t="s">
        <v>64</v>
      </c>
      <c r="H112" s="259" t="s">
        <v>94</v>
      </c>
      <c r="I112" s="259" t="s">
        <v>305</v>
      </c>
      <c r="J112" s="259">
        <v>34.326999999999998</v>
      </c>
      <c r="K112" s="259">
        <v>16.486999999999998</v>
      </c>
      <c r="L112" s="259">
        <v>24.004000000000001</v>
      </c>
      <c r="M112" s="259">
        <v>28.963000000000001</v>
      </c>
      <c r="N112" s="259">
        <v>33.713000000000001</v>
      </c>
      <c r="O112" s="259">
        <v>35.218000000000004</v>
      </c>
      <c r="P112" s="259">
        <v>39.853999999999999</v>
      </c>
      <c r="Q112" s="259">
        <v>44.453000000000003</v>
      </c>
      <c r="R112" s="259">
        <v>-0.59199999999999997</v>
      </c>
      <c r="S112" s="259">
        <v>-0.61</v>
      </c>
      <c r="T112" s="259">
        <v>-0.61799999999999999</v>
      </c>
      <c r="U112" s="259">
        <v>-0.623</v>
      </c>
      <c r="V112" s="259">
        <v>-0.624</v>
      </c>
      <c r="W112" s="259">
        <v>-0.628</v>
      </c>
      <c r="X112" s="259">
        <v>-0.63100000000000001</v>
      </c>
      <c r="Y112" s="259">
        <v>17.032</v>
      </c>
      <c r="Z112" s="259">
        <v>25.335000000000001</v>
      </c>
      <c r="AA112" s="259">
        <v>30.847000000000001</v>
      </c>
      <c r="AB112" s="259">
        <v>36.140999999999998</v>
      </c>
      <c r="AC112" s="259">
        <v>37.822000000000003</v>
      </c>
      <c r="AD112" s="259">
        <v>43.002000000000002</v>
      </c>
      <c r="AE112" s="259">
        <v>48.148000000000003</v>
      </c>
      <c r="AF112" s="259">
        <v>-0.60799999999999998</v>
      </c>
      <c r="AG112" s="259">
        <v>-0.63800000000000001</v>
      </c>
      <c r="AH112" s="259">
        <v>-0.65</v>
      </c>
      <c r="AI112" s="259">
        <v>-0.65800000000000003</v>
      </c>
      <c r="AJ112" s="259">
        <v>-0.66</v>
      </c>
      <c r="AK112" s="259">
        <v>-0.66600000000000004</v>
      </c>
      <c r="AL112" s="259">
        <v>-0.67100000000000004</v>
      </c>
      <c r="AM112" s="259">
        <v>1.7999999999999999E-2</v>
      </c>
      <c r="AN112" s="259">
        <v>2.9000000000000001E-2</v>
      </c>
      <c r="AO112" s="259">
        <v>3.4000000000000002E-2</v>
      </c>
      <c r="AP112" s="259">
        <v>3.7999999999999999E-2</v>
      </c>
      <c r="AQ112" s="259">
        <v>3.9E-2</v>
      </c>
      <c r="AR112" s="259">
        <v>4.1000000000000002E-2</v>
      </c>
      <c r="AS112" s="259">
        <v>4.2999999999999997E-2</v>
      </c>
    </row>
    <row r="113" spans="1:45" s="259" customFormat="1">
      <c r="A113" s="259" t="s">
        <v>244</v>
      </c>
      <c r="B113" s="259" t="s">
        <v>245</v>
      </c>
      <c r="C113" s="262">
        <v>47.800100000100002</v>
      </c>
      <c r="D113" s="262">
        <v>-69.533233333233326</v>
      </c>
      <c r="E113" s="263">
        <f>IF(OR(C113="",D113=""),"",ACOS((SIN(RADIANS(C113)) * SIN(RADIANS('Hydrologie-Méthode rationnelle'!$C$22))) + (COS(RADIANS(C113)) * COS(RADIANS('Hydrologie-Méthode rationnelle'!$C$22))) * (COS(RADIANS(D113) - RADIANS('Hydrologie-Méthode rationnelle'!$C$23)))) * 6371)</f>
        <v>8497.0361830014826</v>
      </c>
      <c r="F113" s="259">
        <v>146</v>
      </c>
      <c r="G113" s="259" t="s">
        <v>82</v>
      </c>
      <c r="H113" s="259" t="s">
        <v>292</v>
      </c>
      <c r="I113" s="259" t="s">
        <v>312</v>
      </c>
      <c r="J113" s="259">
        <v>28.901</v>
      </c>
      <c r="K113" s="259">
        <v>15.401</v>
      </c>
      <c r="L113" s="259">
        <v>20.523</v>
      </c>
      <c r="M113" s="259">
        <v>23.911000000000001</v>
      </c>
      <c r="N113" s="259">
        <v>27.158999999999999</v>
      </c>
      <c r="O113" s="259">
        <v>28.189</v>
      </c>
      <c r="P113" s="259">
        <v>31.361000000000001</v>
      </c>
      <c r="Q113" s="259">
        <v>34.51</v>
      </c>
      <c r="R113" s="259">
        <v>-0.64800000000000002</v>
      </c>
      <c r="S113" s="259">
        <v>-0.65700000000000003</v>
      </c>
      <c r="T113" s="259">
        <v>-0.66100000000000003</v>
      </c>
      <c r="U113" s="259">
        <v>-0.66400000000000003</v>
      </c>
      <c r="V113" s="259">
        <v>-0.66400000000000003</v>
      </c>
      <c r="W113" s="259">
        <v>-0.66700000000000004</v>
      </c>
      <c r="X113" s="259">
        <v>-0.66800000000000004</v>
      </c>
      <c r="Y113" s="259">
        <v>15.958</v>
      </c>
      <c r="Z113" s="259">
        <v>21.481999999999999</v>
      </c>
      <c r="AA113" s="259">
        <v>25.146999999999998</v>
      </c>
      <c r="AB113" s="259">
        <v>28.664000000000001</v>
      </c>
      <c r="AC113" s="259">
        <v>29.780999999999999</v>
      </c>
      <c r="AD113" s="259">
        <v>33.220999999999997</v>
      </c>
      <c r="AE113" s="259">
        <v>36.637999999999998</v>
      </c>
      <c r="AF113" s="259">
        <v>-0.66600000000000004</v>
      </c>
      <c r="AG113" s="259">
        <v>-0.68</v>
      </c>
      <c r="AH113" s="259">
        <v>-0.68600000000000005</v>
      </c>
      <c r="AI113" s="259">
        <v>-0.69099999999999995</v>
      </c>
      <c r="AJ113" s="259">
        <v>-0.69199999999999995</v>
      </c>
      <c r="AK113" s="259">
        <v>-0.69599999999999995</v>
      </c>
      <c r="AL113" s="259">
        <v>-0.69799999999999995</v>
      </c>
      <c r="AM113" s="259">
        <v>1.7999999999999999E-2</v>
      </c>
      <c r="AN113" s="259">
        <v>2.3E-2</v>
      </c>
      <c r="AO113" s="259">
        <v>2.5000000000000001E-2</v>
      </c>
      <c r="AP113" s="259">
        <v>2.7E-2</v>
      </c>
      <c r="AQ113" s="259">
        <v>2.7E-2</v>
      </c>
      <c r="AR113" s="259">
        <v>2.9000000000000001E-2</v>
      </c>
      <c r="AS113" s="259">
        <v>0.03</v>
      </c>
    </row>
    <row r="114" spans="1:45" s="259" customFormat="1">
      <c r="A114" s="259" t="s">
        <v>415</v>
      </c>
      <c r="B114" s="259" t="s">
        <v>246</v>
      </c>
      <c r="C114" s="262">
        <v>47.966766666766674</v>
      </c>
      <c r="D114" s="262">
        <v>-67.066566666566658</v>
      </c>
      <c r="E114" s="263">
        <f>IF(OR(C114="",D114=""),"",ACOS((SIN(RADIANS(C114)) * SIN(RADIANS('Hydrologie-Méthode rationnelle'!$C$22))) + (COS(RADIANS(C114)) * COS(RADIANS('Hydrologie-Méthode rationnelle'!$C$22))) * (COS(RADIANS(D114) - RADIANS('Hydrologie-Méthode rationnelle'!$C$23)))) * 6371)</f>
        <v>8325.8749122006811</v>
      </c>
      <c r="F114" s="259">
        <v>274</v>
      </c>
      <c r="G114" s="259" t="s">
        <v>92</v>
      </c>
      <c r="H114" s="259" t="s">
        <v>95</v>
      </c>
      <c r="I114" s="259" t="s">
        <v>315</v>
      </c>
      <c r="J114" s="259">
        <v>34.091000000000001</v>
      </c>
      <c r="K114" s="259">
        <v>17.148</v>
      </c>
      <c r="L114" s="259">
        <v>22.114999999999998</v>
      </c>
      <c r="M114" s="259">
        <v>25.399000000000001</v>
      </c>
      <c r="N114" s="259">
        <v>28.545999999999999</v>
      </c>
      <c r="O114" s="259">
        <v>29.544</v>
      </c>
      <c r="P114" s="259">
        <v>32.618000000000002</v>
      </c>
      <c r="Q114" s="259">
        <v>35.667999999999999</v>
      </c>
      <c r="R114" s="259">
        <v>-0.64100000000000001</v>
      </c>
      <c r="S114" s="259">
        <v>-0.65</v>
      </c>
      <c r="T114" s="259">
        <v>-0.65500000000000003</v>
      </c>
      <c r="U114" s="259">
        <v>-0.65800000000000003</v>
      </c>
      <c r="V114" s="259">
        <v>-0.65900000000000003</v>
      </c>
      <c r="W114" s="259">
        <v>-0.66100000000000003</v>
      </c>
      <c r="X114" s="259">
        <v>-0.66300000000000003</v>
      </c>
      <c r="Y114" s="259">
        <v>21.268000000000001</v>
      </c>
      <c r="Z114" s="259">
        <v>27.754999999999999</v>
      </c>
      <c r="AA114" s="259">
        <v>32.042999999999999</v>
      </c>
      <c r="AB114" s="259">
        <v>36.154000000000003</v>
      </c>
      <c r="AC114" s="259">
        <v>37.457000000000001</v>
      </c>
      <c r="AD114" s="259">
        <v>41.470999999999997</v>
      </c>
      <c r="AE114" s="259">
        <v>45.454000000000001</v>
      </c>
      <c r="AF114" s="259">
        <v>-0.745</v>
      </c>
      <c r="AG114" s="259">
        <v>-0.76</v>
      </c>
      <c r="AH114" s="259">
        <v>-0.76700000000000002</v>
      </c>
      <c r="AI114" s="259">
        <v>-0.77200000000000002</v>
      </c>
      <c r="AJ114" s="259">
        <v>-0.77300000000000002</v>
      </c>
      <c r="AK114" s="259">
        <v>-0.77700000000000002</v>
      </c>
      <c r="AL114" s="259">
        <v>-0.78</v>
      </c>
      <c r="AM114" s="259">
        <v>0.127</v>
      </c>
      <c r="AN114" s="259">
        <v>0.13300000000000001</v>
      </c>
      <c r="AO114" s="259">
        <v>0.13600000000000001</v>
      </c>
      <c r="AP114" s="259">
        <v>0.13700000000000001</v>
      </c>
      <c r="AQ114" s="259">
        <v>0.13800000000000001</v>
      </c>
      <c r="AR114" s="259">
        <v>0.13900000000000001</v>
      </c>
      <c r="AS114" s="259">
        <v>0.14000000000000001</v>
      </c>
    </row>
    <row r="115" spans="1:45" s="259" customFormat="1">
      <c r="A115" s="259" t="s">
        <v>416</v>
      </c>
      <c r="B115" s="259" t="s">
        <v>247</v>
      </c>
      <c r="C115" s="262">
        <v>47.450100000100008</v>
      </c>
      <c r="D115" s="262">
        <v>-69.766566666566661</v>
      </c>
      <c r="E115" s="263">
        <f>IF(OR(C115="",D115=""),"",ACOS((SIN(RADIANS(C115)) * SIN(RADIANS('Hydrologie-Méthode rationnelle'!$C$22))) + (COS(RADIANS(C115)) * COS(RADIANS('Hydrologie-Méthode rationnelle'!$C$22))) * (COS(RADIANS(D115) - RADIANS('Hydrologie-Méthode rationnelle'!$C$23)))) * 6371)</f>
        <v>8503.6164167702009</v>
      </c>
      <c r="F115" s="259">
        <v>198</v>
      </c>
      <c r="G115" s="259" t="s">
        <v>69</v>
      </c>
      <c r="H115" s="259" t="s">
        <v>55</v>
      </c>
      <c r="I115" s="259" t="s">
        <v>308</v>
      </c>
      <c r="J115" s="259">
        <v>35.146000000000001</v>
      </c>
      <c r="K115" s="259">
        <v>16.870999999999999</v>
      </c>
      <c r="L115" s="259">
        <v>23.07</v>
      </c>
      <c r="M115" s="259">
        <v>27.166</v>
      </c>
      <c r="N115" s="259">
        <v>31.091999999999999</v>
      </c>
      <c r="O115" s="259">
        <v>32.337000000000003</v>
      </c>
      <c r="P115" s="259">
        <v>36.17</v>
      </c>
      <c r="Q115" s="259">
        <v>39.973999999999997</v>
      </c>
      <c r="R115" s="259">
        <v>-0.65200000000000002</v>
      </c>
      <c r="S115" s="259">
        <v>-0.65200000000000002</v>
      </c>
      <c r="T115" s="259">
        <v>-0.65200000000000002</v>
      </c>
      <c r="U115" s="259">
        <v>-0.65100000000000002</v>
      </c>
      <c r="V115" s="259">
        <v>-0.65100000000000002</v>
      </c>
      <c r="W115" s="259">
        <v>-0.65100000000000002</v>
      </c>
      <c r="X115" s="259">
        <v>-0.65100000000000002</v>
      </c>
      <c r="Y115" s="259">
        <v>18.518999999999998</v>
      </c>
      <c r="Z115" s="259">
        <v>26.919</v>
      </c>
      <c r="AA115" s="259">
        <v>32.637999999999998</v>
      </c>
      <c r="AB115" s="259">
        <v>38.201000000000001</v>
      </c>
      <c r="AC115" s="259">
        <v>39.976999999999997</v>
      </c>
      <c r="AD115" s="259">
        <v>45.48</v>
      </c>
      <c r="AE115" s="259">
        <v>50.978999999999999</v>
      </c>
      <c r="AF115" s="259">
        <v>-0.69899999999999995</v>
      </c>
      <c r="AG115" s="259">
        <v>-0.72799999999999998</v>
      </c>
      <c r="AH115" s="259">
        <v>-0.74099999999999999</v>
      </c>
      <c r="AI115" s="259">
        <v>-0.751</v>
      </c>
      <c r="AJ115" s="259">
        <v>-0.754</v>
      </c>
      <c r="AK115" s="259">
        <v>-0.76200000000000001</v>
      </c>
      <c r="AL115" s="259">
        <v>-0.76800000000000002</v>
      </c>
      <c r="AM115" s="259">
        <v>4.9000000000000002E-2</v>
      </c>
      <c r="AN115" s="259">
        <v>8.5999999999999993E-2</v>
      </c>
      <c r="AO115" s="259">
        <v>0.104</v>
      </c>
      <c r="AP115" s="259">
        <v>0.11899999999999999</v>
      </c>
      <c r="AQ115" s="259">
        <v>0.123</v>
      </c>
      <c r="AR115" s="259">
        <v>0.13400000000000001</v>
      </c>
      <c r="AS115" s="259">
        <v>0.14399999999999999</v>
      </c>
    </row>
    <row r="116" spans="1:45" s="259" customFormat="1">
      <c r="A116" s="259" t="s">
        <v>417</v>
      </c>
      <c r="B116" s="259" t="s">
        <v>248</v>
      </c>
      <c r="C116" s="262">
        <v>48.316766666766675</v>
      </c>
      <c r="D116" s="262">
        <v>-68.049899999899992</v>
      </c>
      <c r="E116" s="263">
        <f>IF(OR(C116="",D116=""),"",ACOS((SIN(RADIANS(C116)) * SIN(RADIANS('Hydrologie-Méthode rationnelle'!$C$22))) + (COS(RADIANS(C116)) * COS(RADIANS('Hydrologie-Méthode rationnelle'!$C$22))) * (COS(RADIANS(D116) - RADIANS('Hydrologie-Méthode rationnelle'!$C$23)))) * 6371)</f>
        <v>8407.0544742501261</v>
      </c>
      <c r="F116" s="259">
        <v>323</v>
      </c>
      <c r="G116" s="259" t="s">
        <v>84</v>
      </c>
      <c r="H116" s="259" t="s">
        <v>62</v>
      </c>
      <c r="I116" s="259" t="s">
        <v>308</v>
      </c>
      <c r="J116" s="259">
        <v>35.167000000000002</v>
      </c>
      <c r="K116" s="259">
        <v>16.724</v>
      </c>
      <c r="L116" s="259">
        <v>22.547999999999998</v>
      </c>
      <c r="M116" s="259">
        <v>26.401</v>
      </c>
      <c r="N116" s="259">
        <v>30.094999999999999</v>
      </c>
      <c r="O116" s="259">
        <v>31.266999999999999</v>
      </c>
      <c r="P116" s="259">
        <v>34.877000000000002</v>
      </c>
      <c r="Q116" s="259">
        <v>38.459000000000003</v>
      </c>
      <c r="R116" s="259">
        <v>-0.625</v>
      </c>
      <c r="S116" s="259">
        <v>-0.629</v>
      </c>
      <c r="T116" s="259">
        <v>-0.63100000000000001</v>
      </c>
      <c r="U116" s="259">
        <v>-0.63200000000000001</v>
      </c>
      <c r="V116" s="259">
        <v>-0.63200000000000001</v>
      </c>
      <c r="W116" s="259">
        <v>-0.63300000000000001</v>
      </c>
      <c r="X116" s="259">
        <v>-0.63400000000000001</v>
      </c>
      <c r="Y116" s="259">
        <v>20.802</v>
      </c>
      <c r="Z116" s="259">
        <v>27.536000000000001</v>
      </c>
      <c r="AA116" s="259">
        <v>31.992000000000001</v>
      </c>
      <c r="AB116" s="259">
        <v>36.265000000000001</v>
      </c>
      <c r="AC116" s="259">
        <v>37.619999999999997</v>
      </c>
      <c r="AD116" s="259">
        <v>41.795999999999999</v>
      </c>
      <c r="AE116" s="259">
        <v>45.94</v>
      </c>
      <c r="AF116" s="259">
        <v>-0.73</v>
      </c>
      <c r="AG116" s="259">
        <v>-0.72599999999999998</v>
      </c>
      <c r="AH116" s="259">
        <v>-0.72399999999999998</v>
      </c>
      <c r="AI116" s="259">
        <v>-0.72199999999999998</v>
      </c>
      <c r="AJ116" s="259">
        <v>-0.72199999999999998</v>
      </c>
      <c r="AK116" s="259">
        <v>-0.72099999999999997</v>
      </c>
      <c r="AL116" s="259">
        <v>-0.72</v>
      </c>
      <c r="AM116" s="259">
        <v>0.13300000000000001</v>
      </c>
      <c r="AN116" s="259">
        <v>0.11899999999999999</v>
      </c>
      <c r="AO116" s="259">
        <v>0.114</v>
      </c>
      <c r="AP116" s="259">
        <v>0.11</v>
      </c>
      <c r="AQ116" s="259">
        <v>0.109</v>
      </c>
      <c r="AR116" s="259">
        <v>0.106</v>
      </c>
      <c r="AS116" s="259">
        <v>0.104</v>
      </c>
    </row>
    <row r="117" spans="1:45" s="259" customFormat="1">
      <c r="A117" s="259" t="s">
        <v>418</v>
      </c>
      <c r="B117" s="259" t="s">
        <v>249</v>
      </c>
      <c r="C117" s="262">
        <v>46.416766666766662</v>
      </c>
      <c r="D117" s="262">
        <v>-70.466566666566663</v>
      </c>
      <c r="E117" s="263">
        <f>IF(OR(C117="",D117=""),"",ACOS((SIN(RADIANS(C117)) * SIN(RADIANS('Hydrologie-Méthode rationnelle'!$C$22))) + (COS(RADIANS(C117)) * COS(RADIANS('Hydrologie-Méthode rationnelle'!$C$22))) * (COS(RADIANS(D117) - RADIANS('Hydrologie-Méthode rationnelle'!$C$23)))) * 6371)</f>
        <v>8525.649631382541</v>
      </c>
      <c r="F117" s="259">
        <v>510</v>
      </c>
      <c r="G117" s="259" t="s">
        <v>76</v>
      </c>
      <c r="H117" s="259" t="s">
        <v>55</v>
      </c>
      <c r="I117" s="259" t="s">
        <v>314</v>
      </c>
      <c r="J117" s="259">
        <v>36.604999999999997</v>
      </c>
      <c r="K117" s="259">
        <v>19.111999999999998</v>
      </c>
      <c r="L117" s="259">
        <v>24.933</v>
      </c>
      <c r="M117" s="259">
        <v>28.774999999999999</v>
      </c>
      <c r="N117" s="259">
        <v>32.453000000000003</v>
      </c>
      <c r="O117" s="259">
        <v>33.619</v>
      </c>
      <c r="P117" s="259">
        <v>37.209000000000003</v>
      </c>
      <c r="Q117" s="259">
        <v>40.770000000000003</v>
      </c>
      <c r="R117" s="259">
        <v>-0.67500000000000004</v>
      </c>
      <c r="S117" s="259">
        <v>-0.69399999999999995</v>
      </c>
      <c r="T117" s="259">
        <v>-0.70299999999999996</v>
      </c>
      <c r="U117" s="259">
        <v>-0.70899999999999996</v>
      </c>
      <c r="V117" s="259">
        <v>-0.71099999999999997</v>
      </c>
      <c r="W117" s="259">
        <v>-0.71499999999999997</v>
      </c>
      <c r="X117" s="259">
        <v>-0.71899999999999997</v>
      </c>
      <c r="Y117" s="259">
        <v>21.265999999999998</v>
      </c>
      <c r="Z117" s="259">
        <v>27.62</v>
      </c>
      <c r="AA117" s="259">
        <v>31.831</v>
      </c>
      <c r="AB117" s="259">
        <v>35.872999999999998</v>
      </c>
      <c r="AC117" s="259">
        <v>37.155000000000001</v>
      </c>
      <c r="AD117" s="259">
        <v>41.104999999999997</v>
      </c>
      <c r="AE117" s="259">
        <v>45.027000000000001</v>
      </c>
      <c r="AF117" s="259">
        <v>-0.72799999999999998</v>
      </c>
      <c r="AG117" s="259">
        <v>-0.745</v>
      </c>
      <c r="AH117" s="259">
        <v>-0.753</v>
      </c>
      <c r="AI117" s="259">
        <v>-0.75900000000000001</v>
      </c>
      <c r="AJ117" s="259">
        <v>-0.76100000000000001</v>
      </c>
      <c r="AK117" s="259">
        <v>-0.76500000000000001</v>
      </c>
      <c r="AL117" s="259">
        <v>-0.76900000000000002</v>
      </c>
      <c r="AM117" s="259">
        <v>5.5E-2</v>
      </c>
      <c r="AN117" s="259">
        <v>5.0999999999999997E-2</v>
      </c>
      <c r="AO117" s="259">
        <v>4.9000000000000002E-2</v>
      </c>
      <c r="AP117" s="259">
        <v>4.9000000000000002E-2</v>
      </c>
      <c r="AQ117" s="259">
        <v>4.8000000000000001E-2</v>
      </c>
      <c r="AR117" s="259">
        <v>4.8000000000000001E-2</v>
      </c>
      <c r="AS117" s="259">
        <v>4.7E-2</v>
      </c>
    </row>
    <row r="118" spans="1:45" s="259" customFormat="1">
      <c r="A118" s="259" t="s">
        <v>419</v>
      </c>
      <c r="B118" s="259" t="s">
        <v>250</v>
      </c>
      <c r="C118" s="262">
        <v>48.866766666766672</v>
      </c>
      <c r="D118" s="262">
        <v>-67.116566666566655</v>
      </c>
      <c r="E118" s="263">
        <f>IF(OR(C118="",D118=""),"",ACOS((SIN(RADIANS(C118)) * SIN(RADIANS('Hydrologie-Méthode rationnelle'!$C$22))) + (COS(RADIANS(C118)) * COS(RADIANS('Hydrologie-Méthode rationnelle'!$C$22))) * (COS(RADIANS(D118) - RADIANS('Hydrologie-Méthode rationnelle'!$C$23)))) * 6371)</f>
        <v>8359.5552224986041</v>
      </c>
      <c r="F118" s="259">
        <v>350</v>
      </c>
      <c r="G118" s="259" t="s">
        <v>61</v>
      </c>
      <c r="H118" s="259" t="s">
        <v>55</v>
      </c>
      <c r="I118" s="259" t="s">
        <v>295</v>
      </c>
      <c r="J118" s="259">
        <v>27.298999999999999</v>
      </c>
      <c r="K118" s="259">
        <v>16.073</v>
      </c>
      <c r="L118" s="259">
        <v>21.369</v>
      </c>
      <c r="M118" s="259">
        <v>24.867999999999999</v>
      </c>
      <c r="N118" s="259">
        <v>28.222999999999999</v>
      </c>
      <c r="O118" s="259">
        <v>29.286000000000001</v>
      </c>
      <c r="P118" s="259">
        <v>32.561999999999998</v>
      </c>
      <c r="Q118" s="259">
        <v>35.811999999999998</v>
      </c>
      <c r="R118" s="259">
        <v>-0.65100000000000002</v>
      </c>
      <c r="S118" s="259">
        <v>-0.65300000000000002</v>
      </c>
      <c r="T118" s="259">
        <v>-0.65300000000000002</v>
      </c>
      <c r="U118" s="259">
        <v>-0.65400000000000003</v>
      </c>
      <c r="V118" s="259">
        <v>-0.65400000000000003</v>
      </c>
      <c r="W118" s="259">
        <v>-0.65400000000000003</v>
      </c>
      <c r="X118" s="259">
        <v>-0.65400000000000003</v>
      </c>
      <c r="Y118" s="259">
        <v>16.876999999999999</v>
      </c>
      <c r="Z118" s="259">
        <v>21.574000000000002</v>
      </c>
      <c r="AA118" s="259">
        <v>24.867999999999999</v>
      </c>
      <c r="AB118" s="259">
        <v>28.222999999999999</v>
      </c>
      <c r="AC118" s="259">
        <v>29.286000000000001</v>
      </c>
      <c r="AD118" s="259">
        <v>32.561999999999998</v>
      </c>
      <c r="AE118" s="259">
        <v>35.811999999999998</v>
      </c>
      <c r="AF118" s="259">
        <v>-0.67600000000000005</v>
      </c>
      <c r="AG118" s="259">
        <v>-0.65800000000000003</v>
      </c>
      <c r="AH118" s="259">
        <v>-0.65300000000000002</v>
      </c>
      <c r="AI118" s="259">
        <v>-0.65400000000000003</v>
      </c>
      <c r="AJ118" s="259">
        <v>-0.65400000000000003</v>
      </c>
      <c r="AK118" s="259">
        <v>-0.65400000000000003</v>
      </c>
      <c r="AL118" s="259">
        <v>-0.65400000000000003</v>
      </c>
      <c r="AM118" s="259">
        <v>2.5000000000000001E-2</v>
      </c>
      <c r="AN118" s="259">
        <v>5.0000000000000001E-3</v>
      </c>
      <c r="AO118" s="259">
        <v>0</v>
      </c>
      <c r="AP118" s="259">
        <v>0</v>
      </c>
      <c r="AQ118" s="259">
        <v>0</v>
      </c>
      <c r="AR118" s="259">
        <v>0</v>
      </c>
      <c r="AS118" s="259">
        <v>0</v>
      </c>
    </row>
    <row r="119" spans="1:45" s="259" customFormat="1">
      <c r="A119" s="259" t="s">
        <v>420</v>
      </c>
      <c r="B119" s="259" t="s">
        <v>251</v>
      </c>
      <c r="C119" s="262">
        <v>46.550100000100002</v>
      </c>
      <c r="D119" s="262">
        <v>-70.816566666566658</v>
      </c>
      <c r="E119" s="263">
        <f>IF(OR(C119="",D119=""),"",ACOS((SIN(RADIANS(C119)) * SIN(RADIANS('Hydrologie-Méthode rationnelle'!$C$22))) + (COS(RADIANS(C119)) * COS(RADIANS('Hydrologie-Méthode rationnelle'!$C$22))) * (COS(RADIANS(D119) - RADIANS('Hydrologie-Méthode rationnelle'!$C$23)))) * 6371)</f>
        <v>8555.278166809836</v>
      </c>
      <c r="F119" s="259">
        <v>221</v>
      </c>
      <c r="G119" s="259" t="s">
        <v>76</v>
      </c>
      <c r="H119" s="259" t="s">
        <v>58</v>
      </c>
      <c r="I119" s="259" t="s">
        <v>298</v>
      </c>
      <c r="J119" s="259">
        <v>35.706000000000003</v>
      </c>
      <c r="K119" s="259">
        <v>19.155999999999999</v>
      </c>
      <c r="L119" s="259">
        <v>24.425999999999998</v>
      </c>
      <c r="M119" s="259">
        <v>27.908000000000001</v>
      </c>
      <c r="N119" s="259">
        <v>31.245000000000001</v>
      </c>
      <c r="O119" s="259">
        <v>32.302999999999997</v>
      </c>
      <c r="P119" s="259">
        <v>35.56</v>
      </c>
      <c r="Q119" s="259">
        <v>38.792000000000002</v>
      </c>
      <c r="R119" s="259">
        <v>-0.67800000000000005</v>
      </c>
      <c r="S119" s="259">
        <v>-0.68</v>
      </c>
      <c r="T119" s="259">
        <v>-0.68200000000000005</v>
      </c>
      <c r="U119" s="259">
        <v>-0.68200000000000005</v>
      </c>
      <c r="V119" s="259">
        <v>-0.68300000000000005</v>
      </c>
      <c r="W119" s="259">
        <v>-0.68300000000000005</v>
      </c>
      <c r="X119" s="259">
        <v>-0.68400000000000005</v>
      </c>
      <c r="Y119" s="259">
        <v>20.931999999999999</v>
      </c>
      <c r="Z119" s="259">
        <v>26.120999999999999</v>
      </c>
      <c r="AA119" s="259">
        <v>29.556999999999999</v>
      </c>
      <c r="AB119" s="259">
        <v>32.853000000000002</v>
      </c>
      <c r="AC119" s="259">
        <v>33.899000000000001</v>
      </c>
      <c r="AD119" s="259">
        <v>37.119999999999997</v>
      </c>
      <c r="AE119" s="259">
        <v>40.317</v>
      </c>
      <c r="AF119" s="259">
        <v>-0.72199999999999998</v>
      </c>
      <c r="AG119" s="259">
        <v>-0.71399999999999997</v>
      </c>
      <c r="AH119" s="259">
        <v>-0.71099999999999997</v>
      </c>
      <c r="AI119" s="259">
        <v>-0.70799999999999996</v>
      </c>
      <c r="AJ119" s="259">
        <v>-0.70699999999999996</v>
      </c>
      <c r="AK119" s="259">
        <v>-0.70499999999999996</v>
      </c>
      <c r="AL119" s="259">
        <v>-0.70299999999999996</v>
      </c>
      <c r="AM119" s="259">
        <v>4.4999999999999998E-2</v>
      </c>
      <c r="AN119" s="259">
        <v>3.3000000000000002E-2</v>
      </c>
      <c r="AO119" s="259">
        <v>2.8000000000000001E-2</v>
      </c>
      <c r="AP119" s="259">
        <v>2.4E-2</v>
      </c>
      <c r="AQ119" s="259">
        <v>2.3E-2</v>
      </c>
      <c r="AR119" s="259">
        <v>2.1000000000000001E-2</v>
      </c>
      <c r="AS119" s="259">
        <v>1.7999999999999999E-2</v>
      </c>
    </row>
    <row r="120" spans="1:45" s="259" customFormat="1">
      <c r="A120" s="259" t="s">
        <v>421</v>
      </c>
      <c r="B120" s="259" t="s">
        <v>252</v>
      </c>
      <c r="C120" s="262">
        <v>47.850100000100007</v>
      </c>
      <c r="D120" s="262">
        <v>-69.366566666566655</v>
      </c>
      <c r="E120" s="263">
        <f>IF(OR(C120="",D120=""),"",ACOS((SIN(RADIANS(C120)) * SIN(RADIANS('Hydrologie-Méthode rationnelle'!$C$22))) + (COS(RADIANS(C120)) * COS(RADIANS('Hydrologie-Méthode rationnelle'!$C$22))) * (COS(RADIANS(D120) - RADIANS('Hydrologie-Méthode rationnelle'!$C$23)))) * 6371)</f>
        <v>8486.5358900814226</v>
      </c>
      <c r="F120" s="259">
        <v>152</v>
      </c>
      <c r="G120" s="259" t="s">
        <v>114</v>
      </c>
      <c r="H120" s="259" t="s">
        <v>86</v>
      </c>
      <c r="I120" s="259" t="s">
        <v>305</v>
      </c>
      <c r="J120" s="259">
        <v>23.861999999999998</v>
      </c>
      <c r="K120" s="259">
        <v>14.71</v>
      </c>
      <c r="L120" s="259">
        <v>17.831</v>
      </c>
      <c r="M120" s="259">
        <v>19.896999999999998</v>
      </c>
      <c r="N120" s="259">
        <v>21.876999999999999</v>
      </c>
      <c r="O120" s="259">
        <v>22.506</v>
      </c>
      <c r="P120" s="259">
        <v>24.44</v>
      </c>
      <c r="Q120" s="259">
        <v>26.36</v>
      </c>
      <c r="R120" s="259">
        <v>-0.65400000000000003</v>
      </c>
      <c r="S120" s="259">
        <v>-0.65200000000000002</v>
      </c>
      <c r="T120" s="259">
        <v>-0.65100000000000002</v>
      </c>
      <c r="U120" s="259">
        <v>-0.65</v>
      </c>
      <c r="V120" s="259">
        <v>-0.65</v>
      </c>
      <c r="W120" s="259">
        <v>-0.64900000000000002</v>
      </c>
      <c r="X120" s="259">
        <v>-0.64900000000000002</v>
      </c>
      <c r="Y120" s="259">
        <v>16.472000000000001</v>
      </c>
      <c r="Z120" s="259">
        <v>20.16</v>
      </c>
      <c r="AA120" s="259">
        <v>22.603000000000002</v>
      </c>
      <c r="AB120" s="259">
        <v>24.948</v>
      </c>
      <c r="AC120" s="259">
        <v>25.692</v>
      </c>
      <c r="AD120" s="259">
        <v>27.984000000000002</v>
      </c>
      <c r="AE120" s="259">
        <v>30.259</v>
      </c>
      <c r="AF120" s="259">
        <v>-0.71</v>
      </c>
      <c r="AG120" s="259">
        <v>-0.71299999999999997</v>
      </c>
      <c r="AH120" s="259">
        <v>-0.71399999999999997</v>
      </c>
      <c r="AI120" s="259">
        <v>-0.71499999999999997</v>
      </c>
      <c r="AJ120" s="259">
        <v>-0.71499999999999997</v>
      </c>
      <c r="AK120" s="259">
        <v>-0.71599999999999997</v>
      </c>
      <c r="AL120" s="259">
        <v>-0.71699999999999997</v>
      </c>
      <c r="AM120" s="259">
        <v>6.0999999999999999E-2</v>
      </c>
      <c r="AN120" s="259">
        <v>6.6000000000000003E-2</v>
      </c>
      <c r="AO120" s="259">
        <v>6.9000000000000006E-2</v>
      </c>
      <c r="AP120" s="259">
        <v>7.1999999999999995E-2</v>
      </c>
      <c r="AQ120" s="259">
        <v>7.1999999999999995E-2</v>
      </c>
      <c r="AR120" s="259">
        <v>7.3999999999999996E-2</v>
      </c>
      <c r="AS120" s="259">
        <v>7.5999999999999998E-2</v>
      </c>
    </row>
    <row r="121" spans="1:45" s="259" customFormat="1">
      <c r="A121" s="259" t="s">
        <v>422</v>
      </c>
      <c r="B121" s="259" t="s">
        <v>253</v>
      </c>
      <c r="C121" s="262">
        <v>48.316766666766675</v>
      </c>
      <c r="D121" s="262">
        <v>-70.999899999899995</v>
      </c>
      <c r="E121" s="263">
        <f>IF(OR(C121="",D121=""),"",ACOS((SIN(RADIANS(C121)) * SIN(RADIANS('Hydrologie-Méthode rationnelle'!$C$22))) + (COS(RADIANS(C121)) * COS(RADIANS('Hydrologie-Méthode rationnelle'!$C$22))) * (COS(RADIANS(D121) - RADIANS('Hydrologie-Méthode rationnelle'!$C$23)))) * 6371)</f>
        <v>8617.16202579122</v>
      </c>
      <c r="F121" s="259">
        <v>159</v>
      </c>
      <c r="G121" s="259" t="s">
        <v>97</v>
      </c>
      <c r="H121" s="259" t="s">
        <v>48</v>
      </c>
      <c r="I121" s="259" t="s">
        <v>326</v>
      </c>
      <c r="J121" s="259">
        <v>36.548999999999999</v>
      </c>
      <c r="K121" s="259">
        <v>16.309999999999999</v>
      </c>
      <c r="L121" s="259">
        <v>22.754999999999999</v>
      </c>
      <c r="M121" s="259">
        <v>26.995999999999999</v>
      </c>
      <c r="N121" s="259">
        <v>31.053999999999998</v>
      </c>
      <c r="O121" s="259">
        <v>32.338999999999999</v>
      </c>
      <c r="P121" s="259">
        <v>36.295000000000002</v>
      </c>
      <c r="Q121" s="259">
        <v>40.218000000000004</v>
      </c>
      <c r="R121" s="259">
        <v>-0.67600000000000005</v>
      </c>
      <c r="S121" s="259">
        <v>-0.70299999999999996</v>
      </c>
      <c r="T121" s="259">
        <v>-0.71399999999999997</v>
      </c>
      <c r="U121" s="259">
        <v>-0.72199999999999998</v>
      </c>
      <c r="V121" s="259">
        <v>-0.72399999999999998</v>
      </c>
      <c r="W121" s="259">
        <v>-0.72899999999999998</v>
      </c>
      <c r="X121" s="259">
        <v>-0.73399999999999999</v>
      </c>
      <c r="Y121" s="259">
        <v>18.331</v>
      </c>
      <c r="Z121" s="259">
        <v>27.238</v>
      </c>
      <c r="AA121" s="259">
        <v>33.207000000000001</v>
      </c>
      <c r="AB121" s="259">
        <v>38.963000000000001</v>
      </c>
      <c r="AC121" s="259">
        <v>40.792999999999999</v>
      </c>
      <c r="AD121" s="259">
        <v>46.444000000000003</v>
      </c>
      <c r="AE121" s="259">
        <v>52.066000000000003</v>
      </c>
      <c r="AF121" s="259">
        <v>-0.73399999999999999</v>
      </c>
      <c r="AG121" s="259">
        <v>-0.79100000000000004</v>
      </c>
      <c r="AH121" s="259">
        <v>-0.81499999999999995</v>
      </c>
      <c r="AI121" s="259">
        <v>-0.83199999999999996</v>
      </c>
      <c r="AJ121" s="259">
        <v>-0.83699999999999997</v>
      </c>
      <c r="AK121" s="259">
        <v>-0.84899999999999998</v>
      </c>
      <c r="AL121" s="259">
        <v>-0.85899999999999999</v>
      </c>
      <c r="AM121" s="259">
        <v>0.06</v>
      </c>
      <c r="AN121" s="259">
        <v>9.2999999999999999E-2</v>
      </c>
      <c r="AO121" s="259">
        <v>0.108</v>
      </c>
      <c r="AP121" s="259">
        <v>0.11799999999999999</v>
      </c>
      <c r="AQ121" s="259">
        <v>0.121</v>
      </c>
      <c r="AR121" s="259">
        <v>0.128</v>
      </c>
      <c r="AS121" s="259">
        <v>0.13400000000000001</v>
      </c>
    </row>
    <row r="122" spans="1:45" s="259" customFormat="1">
      <c r="A122" s="259" t="s">
        <v>254</v>
      </c>
      <c r="B122" s="259" t="s">
        <v>255</v>
      </c>
      <c r="C122" s="262">
        <v>48.416766666766662</v>
      </c>
      <c r="D122" s="262">
        <v>-71.133233333233335</v>
      </c>
      <c r="E122" s="263">
        <f>IF(OR(C122="",D122=""),"",ACOS((SIN(RADIANS(C122)) * SIN(RADIANS('Hydrologie-Méthode rationnelle'!$C$22))) + (COS(RADIANS(C122)) * COS(RADIANS('Hydrologie-Méthode rationnelle'!$C$22))) * (COS(RADIANS(D122) - RADIANS('Hydrologie-Méthode rationnelle'!$C$23)))) * 6371)</f>
        <v>8629.4647620990345</v>
      </c>
      <c r="F122" s="259">
        <v>135</v>
      </c>
      <c r="G122" s="259" t="s">
        <v>151</v>
      </c>
      <c r="H122" s="259" t="s">
        <v>292</v>
      </c>
      <c r="I122" s="259" t="s">
        <v>316</v>
      </c>
      <c r="J122" s="259">
        <v>29.158000000000001</v>
      </c>
      <c r="K122" s="259">
        <v>15.66</v>
      </c>
      <c r="L122" s="259">
        <v>20.603999999999999</v>
      </c>
      <c r="M122" s="259">
        <v>23.873000000000001</v>
      </c>
      <c r="N122" s="259">
        <v>27.006</v>
      </c>
      <c r="O122" s="259">
        <v>28</v>
      </c>
      <c r="P122" s="259">
        <v>31.059000000000001</v>
      </c>
      <c r="Q122" s="259">
        <v>34.095999999999997</v>
      </c>
      <c r="R122" s="259">
        <v>-0.69199999999999995</v>
      </c>
      <c r="S122" s="259">
        <v>-0.70299999999999996</v>
      </c>
      <c r="T122" s="259">
        <v>-0.70799999999999996</v>
      </c>
      <c r="U122" s="259">
        <v>-0.71099999999999997</v>
      </c>
      <c r="V122" s="259">
        <v>-0.71199999999999997</v>
      </c>
      <c r="W122" s="259">
        <v>-0.71499999999999997</v>
      </c>
      <c r="X122" s="259">
        <v>-0.71699999999999997</v>
      </c>
      <c r="Y122" s="259">
        <v>16.652000000000001</v>
      </c>
      <c r="Z122" s="259">
        <v>22.384</v>
      </c>
      <c r="AA122" s="259">
        <v>26.184000000000001</v>
      </c>
      <c r="AB122" s="259">
        <v>29.831</v>
      </c>
      <c r="AC122" s="259">
        <v>30.988</v>
      </c>
      <c r="AD122" s="259">
        <v>34.552999999999997</v>
      </c>
      <c r="AE122" s="259">
        <v>38.093000000000004</v>
      </c>
      <c r="AF122" s="259">
        <v>-0.72399999999999998</v>
      </c>
      <c r="AG122" s="259">
        <v>-0.745</v>
      </c>
      <c r="AH122" s="259">
        <v>-0.754</v>
      </c>
      <c r="AI122" s="259">
        <v>-0.76100000000000001</v>
      </c>
      <c r="AJ122" s="259">
        <v>-0.76300000000000001</v>
      </c>
      <c r="AK122" s="259">
        <v>-0.76800000000000002</v>
      </c>
      <c r="AL122" s="259">
        <v>-0.77200000000000002</v>
      </c>
      <c r="AM122" s="259">
        <v>0.03</v>
      </c>
      <c r="AN122" s="259">
        <v>0.04</v>
      </c>
      <c r="AO122" s="259">
        <v>4.4999999999999998E-2</v>
      </c>
      <c r="AP122" s="259">
        <v>4.8000000000000001E-2</v>
      </c>
      <c r="AQ122" s="259">
        <v>4.9000000000000002E-2</v>
      </c>
      <c r="AR122" s="259">
        <v>5.0999999999999997E-2</v>
      </c>
      <c r="AS122" s="259">
        <v>5.2999999999999999E-2</v>
      </c>
    </row>
    <row r="123" spans="1:45" s="259" customFormat="1">
      <c r="A123" s="259" t="s">
        <v>423</v>
      </c>
      <c r="B123" s="259" t="s">
        <v>256</v>
      </c>
      <c r="C123" s="262">
        <v>48.416766666766662</v>
      </c>
      <c r="D123" s="262">
        <v>-71.749899999899995</v>
      </c>
      <c r="E123" s="263">
        <f>IF(OR(C123="",D123=""),"",ACOS((SIN(RADIANS(C123)) * SIN(RADIANS('Hydrologie-Méthode rationnelle'!$C$22))) + (COS(RADIANS(C123)) * COS(RADIANS('Hydrologie-Méthode rationnelle'!$C$22))) * (COS(RADIANS(D123) - RADIANS('Hydrologie-Méthode rationnelle'!$C$23)))) * 6371)</f>
        <v>8673.6046469044068</v>
      </c>
      <c r="F123" s="259">
        <v>152</v>
      </c>
      <c r="G123" s="259" t="s">
        <v>50</v>
      </c>
      <c r="H123" s="259" t="s">
        <v>55</v>
      </c>
      <c r="I123" s="259" t="s">
        <v>316</v>
      </c>
      <c r="J123" s="259">
        <v>29.395</v>
      </c>
      <c r="K123" s="259">
        <v>15.981</v>
      </c>
      <c r="L123" s="259">
        <v>21.483000000000001</v>
      </c>
      <c r="M123" s="259">
        <v>25.123000000000001</v>
      </c>
      <c r="N123" s="259">
        <v>28.611999999999998</v>
      </c>
      <c r="O123" s="259">
        <v>29.719000000000001</v>
      </c>
      <c r="P123" s="259">
        <v>33.128</v>
      </c>
      <c r="Q123" s="259">
        <v>36.511000000000003</v>
      </c>
      <c r="R123" s="259">
        <v>-0.67200000000000004</v>
      </c>
      <c r="S123" s="259">
        <v>-0.67300000000000004</v>
      </c>
      <c r="T123" s="259">
        <v>-0.67300000000000004</v>
      </c>
      <c r="U123" s="259">
        <v>-0.67300000000000004</v>
      </c>
      <c r="V123" s="259">
        <v>-0.67300000000000004</v>
      </c>
      <c r="W123" s="259">
        <v>-0.67300000000000004</v>
      </c>
      <c r="X123" s="259">
        <v>-0.67300000000000004</v>
      </c>
      <c r="Y123" s="259">
        <v>17.053999999999998</v>
      </c>
      <c r="Z123" s="259">
        <v>22.334</v>
      </c>
      <c r="AA123" s="259">
        <v>25.850999999999999</v>
      </c>
      <c r="AB123" s="259">
        <v>29.231999999999999</v>
      </c>
      <c r="AC123" s="259">
        <v>30.306000000000001</v>
      </c>
      <c r="AD123" s="259">
        <v>33.616999999999997</v>
      </c>
      <c r="AE123" s="259">
        <v>36.905999999999999</v>
      </c>
      <c r="AF123" s="259">
        <v>-0.70499999999999996</v>
      </c>
      <c r="AG123" s="259">
        <v>-0.69199999999999995</v>
      </c>
      <c r="AH123" s="259">
        <v>-0.68700000000000006</v>
      </c>
      <c r="AI123" s="259">
        <v>-0.68400000000000005</v>
      </c>
      <c r="AJ123" s="259">
        <v>-0.68300000000000005</v>
      </c>
      <c r="AK123" s="259">
        <v>-0.68100000000000005</v>
      </c>
      <c r="AL123" s="259">
        <v>-0.67900000000000005</v>
      </c>
      <c r="AM123" s="259">
        <v>3.2000000000000001E-2</v>
      </c>
      <c r="AN123" s="259">
        <v>1.9E-2</v>
      </c>
      <c r="AO123" s="259">
        <v>1.4E-2</v>
      </c>
      <c r="AP123" s="259">
        <v>0.01</v>
      </c>
      <c r="AQ123" s="259">
        <v>8.9999999999999993E-3</v>
      </c>
      <c r="AR123" s="259">
        <v>7.0000000000000001E-3</v>
      </c>
      <c r="AS123" s="259">
        <v>5.0000000000000001E-3</v>
      </c>
    </row>
    <row r="124" spans="1:45" s="259" customFormat="1">
      <c r="A124" s="259" t="s">
        <v>424</v>
      </c>
      <c r="B124" s="259" t="s">
        <v>257</v>
      </c>
      <c r="C124" s="262">
        <v>47.966766666766674</v>
      </c>
      <c r="D124" s="262">
        <v>-71.416566666566666</v>
      </c>
      <c r="E124" s="263">
        <f>IF(OR(C124="",D124=""),"",ACOS((SIN(RADIANS(C124)) * SIN(RADIANS('Hydrologie-Méthode rationnelle'!$C$22))) + (COS(RADIANS(C124)) * COS(RADIANS('Hydrologie-Méthode rationnelle'!$C$22))) * (COS(RADIANS(D124) - RADIANS('Hydrologie-Méthode rationnelle'!$C$23)))) * 6371)</f>
        <v>8637.5699658782432</v>
      </c>
      <c r="F124" s="259">
        <v>548</v>
      </c>
      <c r="G124" s="259" t="s">
        <v>84</v>
      </c>
      <c r="H124" s="259" t="s">
        <v>58</v>
      </c>
      <c r="I124" s="259" t="s">
        <v>327</v>
      </c>
      <c r="J124" s="259">
        <v>32.110999999999997</v>
      </c>
      <c r="K124" s="259">
        <v>16.747</v>
      </c>
      <c r="L124" s="259">
        <v>22.48</v>
      </c>
      <c r="M124" s="259">
        <v>26.251000000000001</v>
      </c>
      <c r="N124" s="259">
        <v>29.858000000000001</v>
      </c>
      <c r="O124" s="259">
        <v>31</v>
      </c>
      <c r="P124" s="259">
        <v>34.515999999999998</v>
      </c>
      <c r="Q124" s="259">
        <v>38.003</v>
      </c>
      <c r="R124" s="259">
        <v>-0.65900000000000003</v>
      </c>
      <c r="S124" s="259">
        <v>-0.67300000000000004</v>
      </c>
      <c r="T124" s="259">
        <v>-0.67800000000000005</v>
      </c>
      <c r="U124" s="259">
        <v>-0.68200000000000005</v>
      </c>
      <c r="V124" s="259">
        <v>-0.68300000000000005</v>
      </c>
      <c r="W124" s="259">
        <v>-0.68600000000000005</v>
      </c>
      <c r="X124" s="259">
        <v>-0.68799999999999994</v>
      </c>
      <c r="Y124" s="259">
        <v>19.219000000000001</v>
      </c>
      <c r="Z124" s="259">
        <v>23.536000000000001</v>
      </c>
      <c r="AA124" s="259">
        <v>26.648</v>
      </c>
      <c r="AB124" s="259">
        <v>29.858000000000001</v>
      </c>
      <c r="AC124" s="259">
        <v>31</v>
      </c>
      <c r="AD124" s="259">
        <v>34.515999999999998</v>
      </c>
      <c r="AE124" s="259">
        <v>38.003</v>
      </c>
      <c r="AF124" s="259">
        <v>-0.72799999999999998</v>
      </c>
      <c r="AG124" s="259">
        <v>-0.69599999999999995</v>
      </c>
      <c r="AH124" s="259">
        <v>-0.68600000000000005</v>
      </c>
      <c r="AI124" s="259">
        <v>-0.68200000000000005</v>
      </c>
      <c r="AJ124" s="259">
        <v>-0.68300000000000005</v>
      </c>
      <c r="AK124" s="259">
        <v>-0.68600000000000005</v>
      </c>
      <c r="AL124" s="259">
        <v>-0.68799999999999994</v>
      </c>
      <c r="AM124" s="259">
        <v>7.3999999999999996E-2</v>
      </c>
      <c r="AN124" s="259">
        <v>2.1999999999999999E-2</v>
      </c>
      <c r="AO124" s="259">
        <v>7.0000000000000001E-3</v>
      </c>
      <c r="AP124" s="259">
        <v>0</v>
      </c>
      <c r="AQ124" s="259">
        <v>0</v>
      </c>
      <c r="AR124" s="259">
        <v>0</v>
      </c>
      <c r="AS124" s="259">
        <v>0</v>
      </c>
    </row>
    <row r="125" spans="1:45" s="259" customFormat="1">
      <c r="A125" s="259" t="s">
        <v>258</v>
      </c>
      <c r="B125" s="259" t="s">
        <v>259</v>
      </c>
      <c r="C125" s="262">
        <v>48.833433333433348</v>
      </c>
      <c r="D125" s="262">
        <v>-72.533233333233326</v>
      </c>
      <c r="E125" s="263">
        <f>IF(OR(C125="",D125=""),"",ACOS((SIN(RADIANS(C125)) * SIN(RADIANS('Hydrologie-Méthode rationnelle'!$C$22))) + (COS(RADIANS(C125)) * COS(RADIANS('Hydrologie-Méthode rationnelle'!$C$22))) * (COS(RADIANS(D125) - RADIANS('Hydrologie-Méthode rationnelle'!$C$23)))) * 6371)</f>
        <v>8740.4530362095211</v>
      </c>
      <c r="F125" s="259">
        <v>137</v>
      </c>
      <c r="G125" s="259" t="s">
        <v>172</v>
      </c>
      <c r="H125" s="259" t="s">
        <v>292</v>
      </c>
      <c r="I125" s="259" t="s">
        <v>326</v>
      </c>
      <c r="J125" s="259">
        <v>35.719000000000001</v>
      </c>
      <c r="K125" s="259">
        <v>17.091999999999999</v>
      </c>
      <c r="L125" s="259">
        <v>24.45</v>
      </c>
      <c r="M125" s="259">
        <v>29.311</v>
      </c>
      <c r="N125" s="259">
        <v>33.970999999999997</v>
      </c>
      <c r="O125" s="259">
        <v>35.448</v>
      </c>
      <c r="P125" s="259">
        <v>39.999000000000002</v>
      </c>
      <c r="Q125" s="259">
        <v>44.514000000000003</v>
      </c>
      <c r="R125" s="259">
        <v>-0.69799999999999995</v>
      </c>
      <c r="S125" s="259">
        <v>-0.71699999999999997</v>
      </c>
      <c r="T125" s="259">
        <v>-0.72399999999999998</v>
      </c>
      <c r="U125" s="259">
        <v>-0.72899999999999998</v>
      </c>
      <c r="V125" s="259">
        <v>-0.73</v>
      </c>
      <c r="W125" s="259">
        <v>-0.73399999999999999</v>
      </c>
      <c r="X125" s="259">
        <v>-0.73699999999999999</v>
      </c>
      <c r="Y125" s="259">
        <v>17.931999999999999</v>
      </c>
      <c r="Z125" s="259">
        <v>25.808</v>
      </c>
      <c r="AA125" s="259">
        <v>31.030999999999999</v>
      </c>
      <c r="AB125" s="259">
        <v>36.043999999999997</v>
      </c>
      <c r="AC125" s="259">
        <v>37.634999999999998</v>
      </c>
      <c r="AD125" s="259">
        <v>42.536999999999999</v>
      </c>
      <c r="AE125" s="259">
        <v>47.405000000000001</v>
      </c>
      <c r="AF125" s="259">
        <v>-0.72199999999999998</v>
      </c>
      <c r="AG125" s="259">
        <v>-0.74399999999999999</v>
      </c>
      <c r="AH125" s="259">
        <v>-0.753</v>
      </c>
      <c r="AI125" s="259">
        <v>-0.75900000000000001</v>
      </c>
      <c r="AJ125" s="259">
        <v>-0.76100000000000001</v>
      </c>
      <c r="AK125" s="259">
        <v>-0.76500000000000001</v>
      </c>
      <c r="AL125" s="259">
        <v>-0.76900000000000002</v>
      </c>
      <c r="AM125" s="259">
        <v>2.3E-2</v>
      </c>
      <c r="AN125" s="259">
        <v>2.5000000000000001E-2</v>
      </c>
      <c r="AO125" s="259">
        <v>2.5999999999999999E-2</v>
      </c>
      <c r="AP125" s="259">
        <v>2.7E-2</v>
      </c>
      <c r="AQ125" s="259">
        <v>2.7E-2</v>
      </c>
      <c r="AR125" s="259">
        <v>2.8000000000000001E-2</v>
      </c>
      <c r="AS125" s="259">
        <v>2.8000000000000001E-2</v>
      </c>
    </row>
    <row r="126" spans="1:45" s="259" customFormat="1">
      <c r="A126" s="259" t="s">
        <v>425</v>
      </c>
      <c r="B126" s="259" t="s">
        <v>260</v>
      </c>
      <c r="C126" s="262">
        <v>48.300100000100002</v>
      </c>
      <c r="D126" s="262">
        <v>-71.216566666566663</v>
      </c>
      <c r="E126" s="263">
        <f>IF(OR(C126="",D126=""),"",ACOS((SIN(RADIANS(C126)) * SIN(RADIANS('Hydrologie-Méthode rationnelle'!$C$22))) + (COS(RADIANS(C126)) * COS(RADIANS('Hydrologie-Méthode rationnelle'!$C$22))) * (COS(RADIANS(D126) - RADIANS('Hydrologie-Méthode rationnelle'!$C$23)))) * 6371)</f>
        <v>8632.2285024743524</v>
      </c>
      <c r="F126" s="259">
        <v>164</v>
      </c>
      <c r="G126" s="259" t="s">
        <v>69</v>
      </c>
      <c r="H126" s="259" t="s">
        <v>86</v>
      </c>
      <c r="I126" s="259" t="s">
        <v>315</v>
      </c>
      <c r="J126" s="259">
        <v>24.363</v>
      </c>
      <c r="K126" s="259">
        <v>15.843999999999999</v>
      </c>
      <c r="L126" s="259">
        <v>20.260999999999999</v>
      </c>
      <c r="M126" s="259">
        <v>23.177</v>
      </c>
      <c r="N126" s="259">
        <v>25.971</v>
      </c>
      <c r="O126" s="259">
        <v>26.856999999999999</v>
      </c>
      <c r="P126" s="259">
        <v>29.585000000000001</v>
      </c>
      <c r="Q126" s="259">
        <v>32.29</v>
      </c>
      <c r="R126" s="259">
        <v>-0.65200000000000002</v>
      </c>
      <c r="S126" s="259">
        <v>-0.66300000000000003</v>
      </c>
      <c r="T126" s="259">
        <v>-0.66800000000000004</v>
      </c>
      <c r="U126" s="259">
        <v>-0.67200000000000004</v>
      </c>
      <c r="V126" s="259">
        <v>-0.67300000000000004</v>
      </c>
      <c r="W126" s="259">
        <v>-0.67600000000000005</v>
      </c>
      <c r="X126" s="259">
        <v>-0.67800000000000005</v>
      </c>
      <c r="Y126" s="259">
        <v>16.416</v>
      </c>
      <c r="Z126" s="259">
        <v>20.463999999999999</v>
      </c>
      <c r="AA126" s="259">
        <v>23.177</v>
      </c>
      <c r="AB126" s="259">
        <v>25.971</v>
      </c>
      <c r="AC126" s="259">
        <v>26.856999999999999</v>
      </c>
      <c r="AD126" s="259">
        <v>29.585000000000001</v>
      </c>
      <c r="AE126" s="259">
        <v>32.29</v>
      </c>
      <c r="AF126" s="259">
        <v>-0.67</v>
      </c>
      <c r="AG126" s="259">
        <v>-0.66900000000000004</v>
      </c>
      <c r="AH126" s="259">
        <v>-0.66800000000000004</v>
      </c>
      <c r="AI126" s="259">
        <v>-0.67200000000000004</v>
      </c>
      <c r="AJ126" s="259">
        <v>-0.67300000000000004</v>
      </c>
      <c r="AK126" s="259">
        <v>-0.67600000000000005</v>
      </c>
      <c r="AL126" s="259">
        <v>-0.67800000000000005</v>
      </c>
      <c r="AM126" s="259">
        <v>1.7999999999999999E-2</v>
      </c>
      <c r="AN126" s="259">
        <v>5.0000000000000001E-3</v>
      </c>
      <c r="AO126" s="259">
        <v>0</v>
      </c>
      <c r="AP126" s="259">
        <v>0</v>
      </c>
      <c r="AQ126" s="259">
        <v>0</v>
      </c>
      <c r="AR126" s="259">
        <v>0</v>
      </c>
      <c r="AS126" s="259">
        <v>0</v>
      </c>
    </row>
    <row r="127" spans="1:45" s="259" customFormat="1">
      <c r="A127" s="259" t="s">
        <v>426</v>
      </c>
      <c r="B127" s="259" t="s">
        <v>261</v>
      </c>
      <c r="C127" s="262">
        <v>48.516766666766678</v>
      </c>
      <c r="D127" s="262">
        <v>-72.266566666566661</v>
      </c>
      <c r="E127" s="263">
        <f>IF(OR(C127="",D127=""),"",ACOS((SIN(RADIANS(C127)) * SIN(RADIANS('Hydrologie-Méthode rationnelle'!$C$22))) + (COS(RADIANS(C127)) * COS(RADIANS('Hydrologie-Méthode rationnelle'!$C$22))) * (COS(RADIANS(D127) - RADIANS('Hydrologie-Méthode rationnelle'!$C$23)))) * 6371)</f>
        <v>8713.2461155298915</v>
      </c>
      <c r="F127" s="259">
        <v>178</v>
      </c>
      <c r="G127" s="259" t="s">
        <v>84</v>
      </c>
      <c r="H127" s="259" t="s">
        <v>262</v>
      </c>
      <c r="I127" s="259" t="s">
        <v>314</v>
      </c>
      <c r="J127" s="259">
        <v>29.687999999999999</v>
      </c>
      <c r="K127" s="259">
        <v>16.558</v>
      </c>
      <c r="L127" s="259">
        <v>21.893999999999998</v>
      </c>
      <c r="M127" s="259">
        <v>25.420999999999999</v>
      </c>
      <c r="N127" s="259">
        <v>28.802</v>
      </c>
      <c r="O127" s="259">
        <v>29.873999999999999</v>
      </c>
      <c r="P127" s="259">
        <v>33.176000000000002</v>
      </c>
      <c r="Q127" s="259">
        <v>36.453000000000003</v>
      </c>
      <c r="R127" s="259">
        <v>-0.66800000000000004</v>
      </c>
      <c r="S127" s="259">
        <v>-0.67900000000000005</v>
      </c>
      <c r="T127" s="259">
        <v>-0.68400000000000005</v>
      </c>
      <c r="U127" s="259">
        <v>-0.68799999999999994</v>
      </c>
      <c r="V127" s="259">
        <v>-0.68899999999999995</v>
      </c>
      <c r="W127" s="259">
        <v>-0.69099999999999995</v>
      </c>
      <c r="X127" s="259">
        <v>-0.69399999999999995</v>
      </c>
      <c r="Y127" s="259">
        <v>17.25</v>
      </c>
      <c r="Z127" s="259">
        <v>22.623000000000001</v>
      </c>
      <c r="AA127" s="259">
        <v>26.181999999999999</v>
      </c>
      <c r="AB127" s="259">
        <v>29.596</v>
      </c>
      <c r="AC127" s="259">
        <v>30.678000000000001</v>
      </c>
      <c r="AD127" s="259">
        <v>34.014000000000003</v>
      </c>
      <c r="AE127" s="259">
        <v>37.325000000000003</v>
      </c>
      <c r="AF127" s="259">
        <v>-0.68899999999999995</v>
      </c>
      <c r="AG127" s="259">
        <v>-0.69599999999999995</v>
      </c>
      <c r="AH127" s="259">
        <v>-0.69899999999999995</v>
      </c>
      <c r="AI127" s="259">
        <v>-0.70199999999999996</v>
      </c>
      <c r="AJ127" s="259">
        <v>-0.70199999999999996</v>
      </c>
      <c r="AK127" s="259">
        <v>-0.70399999999999996</v>
      </c>
      <c r="AL127" s="259">
        <v>-0.70599999999999996</v>
      </c>
      <c r="AM127" s="259">
        <v>0.02</v>
      </c>
      <c r="AN127" s="259">
        <v>1.6E-2</v>
      </c>
      <c r="AO127" s="259">
        <v>1.4E-2</v>
      </c>
      <c r="AP127" s="259">
        <v>1.2999999999999999E-2</v>
      </c>
      <c r="AQ127" s="259">
        <v>1.2E-2</v>
      </c>
      <c r="AR127" s="259">
        <v>1.2E-2</v>
      </c>
      <c r="AS127" s="259">
        <v>1.0999999999999999E-2</v>
      </c>
    </row>
    <row r="128" spans="1:45" s="259" customFormat="1">
      <c r="A128" s="259" t="s">
        <v>427</v>
      </c>
      <c r="B128" s="259" t="s">
        <v>263</v>
      </c>
      <c r="C128" s="262">
        <v>48.616766666766672</v>
      </c>
      <c r="D128" s="262">
        <v>-71.716566666566663</v>
      </c>
      <c r="E128" s="263">
        <f>IF(OR(C128="",D128=""),"",ACOS((SIN(RADIANS(C128)) * SIN(RADIANS('Hydrologie-Méthode rationnelle'!$C$22))) + (COS(RADIANS(C128)) * COS(RADIANS('Hydrologie-Méthode rationnelle'!$C$22))) * (COS(RADIANS(D128) - RADIANS('Hydrologie-Méthode rationnelle'!$C$23)))) * 6371)</f>
        <v>8676.5596171719808</v>
      </c>
      <c r="F128" s="259">
        <v>106</v>
      </c>
      <c r="G128" s="259" t="s">
        <v>64</v>
      </c>
      <c r="H128" s="259" t="s">
        <v>62</v>
      </c>
      <c r="I128" s="259" t="s">
        <v>316</v>
      </c>
      <c r="J128" s="259">
        <v>31.545000000000002</v>
      </c>
      <c r="K128" s="259">
        <v>15.553000000000001</v>
      </c>
      <c r="L128" s="259">
        <v>20.678000000000001</v>
      </c>
      <c r="M128" s="259">
        <v>24.065999999999999</v>
      </c>
      <c r="N128" s="259">
        <v>27.315000000000001</v>
      </c>
      <c r="O128" s="259">
        <v>28.344999999999999</v>
      </c>
      <c r="P128" s="259">
        <v>31.518000000000001</v>
      </c>
      <c r="Q128" s="259">
        <v>34.667000000000002</v>
      </c>
      <c r="R128" s="259">
        <v>-0.63700000000000001</v>
      </c>
      <c r="S128" s="259">
        <v>-0.626</v>
      </c>
      <c r="T128" s="259">
        <v>-0.622</v>
      </c>
      <c r="U128" s="259">
        <v>-0.61799999999999999</v>
      </c>
      <c r="V128" s="259">
        <v>-0.61699999999999999</v>
      </c>
      <c r="W128" s="259">
        <v>-0.61499999999999999</v>
      </c>
      <c r="X128" s="259">
        <v>-0.61299999999999999</v>
      </c>
      <c r="Y128" s="259">
        <v>17.475999999999999</v>
      </c>
      <c r="Z128" s="259">
        <v>23.09</v>
      </c>
      <c r="AA128" s="259">
        <v>26.806000000000001</v>
      </c>
      <c r="AB128" s="259">
        <v>30.370999999999999</v>
      </c>
      <c r="AC128" s="259">
        <v>31.501999999999999</v>
      </c>
      <c r="AD128" s="259">
        <v>34.984999999999999</v>
      </c>
      <c r="AE128" s="259">
        <v>38.442999999999998</v>
      </c>
      <c r="AF128" s="259">
        <v>-0.69499999999999995</v>
      </c>
      <c r="AG128" s="259">
        <v>-0.68100000000000005</v>
      </c>
      <c r="AH128" s="259">
        <v>-0.67500000000000004</v>
      </c>
      <c r="AI128" s="259">
        <v>-0.67100000000000004</v>
      </c>
      <c r="AJ128" s="259">
        <v>-0.67</v>
      </c>
      <c r="AK128" s="259">
        <v>-0.66700000000000004</v>
      </c>
      <c r="AL128" s="259">
        <v>-0.66400000000000003</v>
      </c>
      <c r="AM128" s="259">
        <v>6.4000000000000001E-2</v>
      </c>
      <c r="AN128" s="259">
        <v>6.2E-2</v>
      </c>
      <c r="AO128" s="259">
        <v>6.0999999999999999E-2</v>
      </c>
      <c r="AP128" s="259">
        <v>0.06</v>
      </c>
      <c r="AQ128" s="259">
        <v>0.06</v>
      </c>
      <c r="AR128" s="259">
        <v>5.8999999999999997E-2</v>
      </c>
      <c r="AS128" s="259">
        <v>5.8999999999999997E-2</v>
      </c>
    </row>
    <row r="129" spans="1:45" s="259" customFormat="1">
      <c r="A129" s="259" t="s">
        <v>428</v>
      </c>
      <c r="B129" s="259" t="s">
        <v>264</v>
      </c>
      <c r="C129" s="262">
        <v>48.283433333433337</v>
      </c>
      <c r="D129" s="262">
        <v>-70.916566666566666</v>
      </c>
      <c r="E129" s="263">
        <f>IF(OR(C129="",D129=""),"",ACOS((SIN(RADIANS(C129)) * SIN(RADIANS('Hydrologie-Méthode rationnelle'!$C$22))) + (COS(RADIANS(C129)) * COS(RADIANS('Hydrologie-Méthode rationnelle'!$C$22))) * (COS(RADIANS(D129) - RADIANS('Hydrologie-Méthode rationnelle'!$C$23)))) * 6371)</f>
        <v>8610.2679289308944</v>
      </c>
      <c r="F129" s="259">
        <v>151</v>
      </c>
      <c r="G129" s="259" t="s">
        <v>95</v>
      </c>
      <c r="H129" s="259" t="s">
        <v>292</v>
      </c>
      <c r="I129" s="259" t="s">
        <v>298</v>
      </c>
      <c r="J129" s="259">
        <v>36.338999999999999</v>
      </c>
      <c r="K129" s="259">
        <v>17.283000000000001</v>
      </c>
      <c r="L129" s="259">
        <v>23.91</v>
      </c>
      <c r="M129" s="259">
        <v>28.285</v>
      </c>
      <c r="N129" s="259">
        <v>32.476999999999997</v>
      </c>
      <c r="O129" s="259">
        <v>33.805999999999997</v>
      </c>
      <c r="P129" s="259">
        <v>37.899000000000001</v>
      </c>
      <c r="Q129" s="259">
        <v>41.96</v>
      </c>
      <c r="R129" s="259">
        <v>-0.68700000000000006</v>
      </c>
      <c r="S129" s="259">
        <v>-0.69599999999999995</v>
      </c>
      <c r="T129" s="259">
        <v>-0.7</v>
      </c>
      <c r="U129" s="259">
        <v>-0.70299999999999996</v>
      </c>
      <c r="V129" s="259">
        <v>-0.70399999999999996</v>
      </c>
      <c r="W129" s="259">
        <v>-0.70499999999999996</v>
      </c>
      <c r="X129" s="259">
        <v>-0.70699999999999996</v>
      </c>
      <c r="Y129" s="259">
        <v>18.27</v>
      </c>
      <c r="Z129" s="259">
        <v>26.605</v>
      </c>
      <c r="AA129" s="259">
        <v>32.179000000000002</v>
      </c>
      <c r="AB129" s="259">
        <v>37.546999999999997</v>
      </c>
      <c r="AC129" s="259">
        <v>39.253</v>
      </c>
      <c r="AD129" s="259">
        <v>44.514000000000003</v>
      </c>
      <c r="AE129" s="259">
        <v>49.744999999999997</v>
      </c>
      <c r="AF129" s="259">
        <v>-0.71599999999999997</v>
      </c>
      <c r="AG129" s="259">
        <v>-0.75</v>
      </c>
      <c r="AH129" s="259">
        <v>-0.76400000000000001</v>
      </c>
      <c r="AI129" s="259">
        <v>-0.77500000000000002</v>
      </c>
      <c r="AJ129" s="259">
        <v>-0.77700000000000002</v>
      </c>
      <c r="AK129" s="259">
        <v>-0.78500000000000003</v>
      </c>
      <c r="AL129" s="259">
        <v>-0.79100000000000004</v>
      </c>
      <c r="AM129" s="259">
        <v>2.7E-2</v>
      </c>
      <c r="AN129" s="259">
        <v>5.2999999999999999E-2</v>
      </c>
      <c r="AO129" s="259">
        <v>6.5000000000000002E-2</v>
      </c>
      <c r="AP129" s="259">
        <v>7.2999999999999995E-2</v>
      </c>
      <c r="AQ129" s="259">
        <v>7.5999999999999998E-2</v>
      </c>
      <c r="AR129" s="259">
        <v>8.2000000000000003E-2</v>
      </c>
      <c r="AS129" s="259">
        <v>8.6999999999999994E-2</v>
      </c>
    </row>
    <row r="130" spans="1:45" s="259" customFormat="1">
      <c r="A130" s="259" t="s">
        <v>429</v>
      </c>
      <c r="B130" s="259" t="s">
        <v>265</v>
      </c>
      <c r="C130" s="262">
        <v>47.100100000100007</v>
      </c>
      <c r="D130" s="262">
        <v>-72.916566666566666</v>
      </c>
      <c r="E130" s="263">
        <f>IF(OR(C130="",D130=""),"",ACOS((SIN(RADIANS(C130)) * SIN(RADIANS('Hydrologie-Méthode rationnelle'!$C$22))) + (COS(RADIANS(C130)) * COS(RADIANS('Hydrologie-Méthode rationnelle'!$C$22))) * (COS(RADIANS(D130) - RADIANS('Hydrologie-Méthode rationnelle'!$C$23)))) * 6371)</f>
        <v>8724.8814512714416</v>
      </c>
      <c r="F130" s="259">
        <v>119</v>
      </c>
      <c r="G130" s="259" t="s">
        <v>146</v>
      </c>
      <c r="H130" s="259" t="s">
        <v>55</v>
      </c>
      <c r="I130" s="259" t="s">
        <v>315</v>
      </c>
      <c r="J130" s="259">
        <v>45.601999999999997</v>
      </c>
      <c r="K130" s="259">
        <v>19.106999999999999</v>
      </c>
      <c r="L130" s="259">
        <v>25.859000000000002</v>
      </c>
      <c r="M130" s="259">
        <v>30.321000000000002</v>
      </c>
      <c r="N130" s="259">
        <v>34.597000000000001</v>
      </c>
      <c r="O130" s="259">
        <v>35.953000000000003</v>
      </c>
      <c r="P130" s="259">
        <v>40.128999999999998</v>
      </c>
      <c r="Q130" s="259">
        <v>44.271999999999998</v>
      </c>
      <c r="R130" s="259">
        <v>-0.70199999999999996</v>
      </c>
      <c r="S130" s="259">
        <v>-0.71099999999999997</v>
      </c>
      <c r="T130" s="259">
        <v>-0.71399999999999997</v>
      </c>
      <c r="U130" s="259">
        <v>-0.71699999999999997</v>
      </c>
      <c r="V130" s="259">
        <v>-0.71799999999999997</v>
      </c>
      <c r="W130" s="259">
        <v>-0.72</v>
      </c>
      <c r="X130" s="259">
        <v>-0.72099999999999997</v>
      </c>
      <c r="Y130" s="259">
        <v>25.088999999999999</v>
      </c>
      <c r="Z130" s="259">
        <v>35.613</v>
      </c>
      <c r="AA130" s="259">
        <v>42.664000000000001</v>
      </c>
      <c r="AB130" s="259">
        <v>49.463999999999999</v>
      </c>
      <c r="AC130" s="259">
        <v>51.627000000000002</v>
      </c>
      <c r="AD130" s="259">
        <v>58.302</v>
      </c>
      <c r="AE130" s="259">
        <v>64.944000000000003</v>
      </c>
      <c r="AF130" s="259">
        <v>-0.83299999999999996</v>
      </c>
      <c r="AG130" s="259">
        <v>-0.86299999999999999</v>
      </c>
      <c r="AH130" s="259">
        <v>-0.876</v>
      </c>
      <c r="AI130" s="259">
        <v>-0.88600000000000001</v>
      </c>
      <c r="AJ130" s="259">
        <v>-0.88800000000000001</v>
      </c>
      <c r="AK130" s="259">
        <v>-0.89500000000000002</v>
      </c>
      <c r="AL130" s="259">
        <v>-0.90100000000000002</v>
      </c>
      <c r="AM130" s="259">
        <v>0.15</v>
      </c>
      <c r="AN130" s="259">
        <v>0.17899999999999999</v>
      </c>
      <c r="AO130" s="259">
        <v>0.192</v>
      </c>
      <c r="AP130" s="259">
        <v>0.20200000000000001</v>
      </c>
      <c r="AQ130" s="259">
        <v>0.20399999999999999</v>
      </c>
      <c r="AR130" s="259">
        <v>0.21199999999999999</v>
      </c>
      <c r="AS130" s="259">
        <v>0.218</v>
      </c>
    </row>
    <row r="131" spans="1:45" s="259" customFormat="1">
      <c r="A131" s="259" t="s">
        <v>430</v>
      </c>
      <c r="B131" s="259" t="s">
        <v>266</v>
      </c>
      <c r="C131" s="262">
        <v>47.400100000100004</v>
      </c>
      <c r="D131" s="262">
        <v>-72.766566666566661</v>
      </c>
      <c r="E131" s="263">
        <f>IF(OR(C131="",D131=""),"",ACOS((SIN(RADIANS(C131)) * SIN(RADIANS('Hydrologie-Méthode rationnelle'!$C$22))) + (COS(RADIANS(C131)) * COS(RADIANS('Hydrologie-Méthode rationnelle'!$C$22))) * (COS(RADIANS(D131) - RADIANS('Hydrologie-Méthode rationnelle'!$C$23)))) * 6371)</f>
        <v>8721.2159395264898</v>
      </c>
      <c r="F131" s="259">
        <v>152</v>
      </c>
      <c r="G131" s="259" t="s">
        <v>82</v>
      </c>
      <c r="H131" s="259" t="s">
        <v>55</v>
      </c>
      <c r="I131" s="259" t="s">
        <v>294</v>
      </c>
      <c r="J131" s="259">
        <v>43.722000000000001</v>
      </c>
      <c r="K131" s="259">
        <v>17.117999999999999</v>
      </c>
      <c r="L131" s="259">
        <v>24.286000000000001</v>
      </c>
      <c r="M131" s="259">
        <v>29.023</v>
      </c>
      <c r="N131" s="259">
        <v>33.564</v>
      </c>
      <c r="O131" s="259">
        <v>35.003</v>
      </c>
      <c r="P131" s="259">
        <v>39.438000000000002</v>
      </c>
      <c r="Q131" s="259">
        <v>43.838000000000001</v>
      </c>
      <c r="R131" s="259">
        <v>-0.70499999999999996</v>
      </c>
      <c r="S131" s="259">
        <v>-0.71699999999999997</v>
      </c>
      <c r="T131" s="259">
        <v>-0.72299999999999998</v>
      </c>
      <c r="U131" s="259">
        <v>-0.72599999999999998</v>
      </c>
      <c r="V131" s="259">
        <v>-0.72699999999999998</v>
      </c>
      <c r="W131" s="259">
        <v>-0.73</v>
      </c>
      <c r="X131" s="259">
        <v>-0.73199999999999998</v>
      </c>
      <c r="Y131" s="259">
        <v>21.001000000000001</v>
      </c>
      <c r="Z131" s="259">
        <v>30.946000000000002</v>
      </c>
      <c r="AA131" s="259">
        <v>37.546999999999997</v>
      </c>
      <c r="AB131" s="259">
        <v>43.884999999999998</v>
      </c>
      <c r="AC131" s="259">
        <v>45.896000000000001</v>
      </c>
      <c r="AD131" s="259">
        <v>52.094000000000001</v>
      </c>
      <c r="AE131" s="259">
        <v>58.247</v>
      </c>
      <c r="AF131" s="259">
        <v>-0.80400000000000005</v>
      </c>
      <c r="AG131" s="259">
        <v>-0.83499999999999996</v>
      </c>
      <c r="AH131" s="259">
        <v>-0.84699999999999998</v>
      </c>
      <c r="AI131" s="259">
        <v>-0.85499999999999998</v>
      </c>
      <c r="AJ131" s="259">
        <v>-0.85799999999999998</v>
      </c>
      <c r="AK131" s="259">
        <v>-0.86299999999999999</v>
      </c>
      <c r="AL131" s="259">
        <v>-0.86799999999999999</v>
      </c>
      <c r="AM131" s="259">
        <v>0.108</v>
      </c>
      <c r="AN131" s="259">
        <v>0.128</v>
      </c>
      <c r="AO131" s="259">
        <v>0.13600000000000001</v>
      </c>
      <c r="AP131" s="259">
        <v>0.14199999999999999</v>
      </c>
      <c r="AQ131" s="259">
        <v>0.14299999999999999</v>
      </c>
      <c r="AR131" s="259">
        <v>0.14699999999999999</v>
      </c>
      <c r="AS131" s="259">
        <v>0.15</v>
      </c>
    </row>
    <row r="132" spans="1:45" s="259" customFormat="1">
      <c r="A132" s="259" t="s">
        <v>267</v>
      </c>
      <c r="B132" s="259" t="s">
        <v>268</v>
      </c>
      <c r="C132" s="262">
        <v>47.916766666766662</v>
      </c>
      <c r="D132" s="262">
        <v>-74.616566666566655</v>
      </c>
      <c r="E132" s="263">
        <f>IF(OR(C132="",D132=""),"",ACOS((SIN(RADIANS(C132)) * SIN(RADIANS('Hydrologie-Méthode rationnelle'!$C$22))) + (COS(RADIANS(C132)) * COS(RADIANS('Hydrologie-Méthode rationnelle'!$C$22))) * (COS(RADIANS(D132) - RADIANS('Hydrologie-Méthode rationnelle'!$C$23)))) * 6371)</f>
        <v>8868.78050933755</v>
      </c>
      <c r="F132" s="259">
        <v>444</v>
      </c>
      <c r="G132" s="259" t="s">
        <v>84</v>
      </c>
      <c r="H132" s="259" t="s">
        <v>292</v>
      </c>
      <c r="I132" s="259" t="s">
        <v>316</v>
      </c>
      <c r="J132" s="259">
        <v>36.808</v>
      </c>
      <c r="K132" s="259">
        <v>18.628</v>
      </c>
      <c r="L132" s="259">
        <v>24.062000000000001</v>
      </c>
      <c r="M132" s="259">
        <v>27.651</v>
      </c>
      <c r="N132" s="259">
        <v>31.088999999999999</v>
      </c>
      <c r="O132" s="259">
        <v>32.179000000000002</v>
      </c>
      <c r="P132" s="259">
        <v>35.534999999999997</v>
      </c>
      <c r="Q132" s="259">
        <v>38.865000000000002</v>
      </c>
      <c r="R132" s="259">
        <v>-0.70899999999999996</v>
      </c>
      <c r="S132" s="259">
        <v>-0.71599999999999997</v>
      </c>
      <c r="T132" s="259">
        <v>-0.72</v>
      </c>
      <c r="U132" s="259">
        <v>-0.72299999999999998</v>
      </c>
      <c r="V132" s="259">
        <v>-0.72299999999999998</v>
      </c>
      <c r="W132" s="259">
        <v>-0.72499999999999998</v>
      </c>
      <c r="X132" s="259">
        <v>-0.72699999999999998</v>
      </c>
      <c r="Y132" s="259">
        <v>20.635999999999999</v>
      </c>
      <c r="Z132" s="259">
        <v>28.085999999999999</v>
      </c>
      <c r="AA132" s="259">
        <v>33.1</v>
      </c>
      <c r="AB132" s="259">
        <v>37.948999999999998</v>
      </c>
      <c r="AC132" s="259">
        <v>39.493000000000002</v>
      </c>
      <c r="AD132" s="259">
        <v>44.265000000000001</v>
      </c>
      <c r="AE132" s="259">
        <v>49.02</v>
      </c>
      <c r="AF132" s="259">
        <v>-0.76</v>
      </c>
      <c r="AG132" s="259">
        <v>-0.79300000000000004</v>
      </c>
      <c r="AH132" s="259">
        <v>-0.80800000000000005</v>
      </c>
      <c r="AI132" s="259">
        <v>-0.82</v>
      </c>
      <c r="AJ132" s="259">
        <v>-0.82299999999999995</v>
      </c>
      <c r="AK132" s="259">
        <v>-0.83199999999999996</v>
      </c>
      <c r="AL132" s="259">
        <v>-0.84</v>
      </c>
      <c r="AM132" s="259">
        <v>0.05</v>
      </c>
      <c r="AN132" s="259">
        <v>7.6999999999999999E-2</v>
      </c>
      <c r="AO132" s="259">
        <v>9.0999999999999998E-2</v>
      </c>
      <c r="AP132" s="259">
        <v>0.10199999999999999</v>
      </c>
      <c r="AQ132" s="259">
        <v>0.105</v>
      </c>
      <c r="AR132" s="259">
        <v>0.113</v>
      </c>
      <c r="AS132" s="259">
        <v>0.12</v>
      </c>
    </row>
    <row r="133" spans="1:45" s="259" customFormat="1">
      <c r="A133" s="259" t="s">
        <v>269</v>
      </c>
      <c r="B133" s="259" t="s">
        <v>270</v>
      </c>
      <c r="C133" s="262">
        <v>46.800100000100002</v>
      </c>
      <c r="D133" s="262">
        <v>-74.083233333233323</v>
      </c>
      <c r="E133" s="263">
        <f>IF(OR(C133="",D133=""),"",ACOS((SIN(RADIANS(C133)) * SIN(RADIANS('Hydrologie-Méthode rationnelle'!$C$22))) + (COS(RADIANS(C133)) * COS(RADIANS('Hydrologie-Méthode rationnelle'!$C$22))) * (COS(RADIANS(D133) - RADIANS('Hydrologie-Méthode rationnelle'!$C$23)))) * 6371)</f>
        <v>8804.3746949395809</v>
      </c>
      <c r="F133" s="259">
        <v>429</v>
      </c>
      <c r="G133" s="259" t="s">
        <v>84</v>
      </c>
      <c r="H133" s="259" t="s">
        <v>292</v>
      </c>
      <c r="I133" s="259" t="s">
        <v>328</v>
      </c>
      <c r="J133" s="259">
        <v>46.698</v>
      </c>
      <c r="K133" s="259">
        <v>16.981000000000002</v>
      </c>
      <c r="L133" s="259">
        <v>25.376999999999999</v>
      </c>
      <c r="M133" s="259">
        <v>30.91</v>
      </c>
      <c r="N133" s="259">
        <v>36.207999999999998</v>
      </c>
      <c r="O133" s="259">
        <v>37.887</v>
      </c>
      <c r="P133" s="259">
        <v>43.057000000000002</v>
      </c>
      <c r="Q133" s="259">
        <v>48.186</v>
      </c>
      <c r="R133" s="259">
        <v>-0.67700000000000005</v>
      </c>
      <c r="S133" s="259">
        <v>-0.68</v>
      </c>
      <c r="T133" s="259">
        <v>-0.68100000000000005</v>
      </c>
      <c r="U133" s="259">
        <v>-0.68200000000000005</v>
      </c>
      <c r="V133" s="259">
        <v>-0.68200000000000005</v>
      </c>
      <c r="W133" s="259">
        <v>-0.68300000000000005</v>
      </c>
      <c r="X133" s="259">
        <v>-0.68400000000000005</v>
      </c>
      <c r="Y133" s="259">
        <v>19.463999999999999</v>
      </c>
      <c r="Z133" s="259">
        <v>33.655000000000001</v>
      </c>
      <c r="AA133" s="259">
        <v>43.844999999999999</v>
      </c>
      <c r="AB133" s="259">
        <v>53.988</v>
      </c>
      <c r="AC133" s="259">
        <v>57.262999999999998</v>
      </c>
      <c r="AD133" s="259">
        <v>67.484999999999999</v>
      </c>
      <c r="AE133" s="259">
        <v>77.793000000000006</v>
      </c>
      <c r="AF133" s="259">
        <v>-0.74399999999999999</v>
      </c>
      <c r="AG133" s="259">
        <v>-0.81499999999999995</v>
      </c>
      <c r="AH133" s="259">
        <v>-0.84599999999999997</v>
      </c>
      <c r="AI133" s="259">
        <v>-0.86799999999999999</v>
      </c>
      <c r="AJ133" s="259">
        <v>-0.875</v>
      </c>
      <c r="AK133" s="259">
        <v>-0.89100000000000001</v>
      </c>
      <c r="AL133" s="259">
        <v>-0.90400000000000003</v>
      </c>
      <c r="AM133" s="259">
        <v>7.1999999999999995E-2</v>
      </c>
      <c r="AN133" s="259">
        <v>0.16300000000000001</v>
      </c>
      <c r="AO133" s="259">
        <v>0.20899999999999999</v>
      </c>
      <c r="AP133" s="259">
        <v>0.24399999999999999</v>
      </c>
      <c r="AQ133" s="259">
        <v>0.254</v>
      </c>
      <c r="AR133" s="259">
        <v>0.28100000000000003</v>
      </c>
      <c r="AS133" s="259">
        <v>0.30299999999999999</v>
      </c>
    </row>
    <row r="134" spans="1:45" s="259" customFormat="1">
      <c r="A134" s="259" t="s">
        <v>431</v>
      </c>
      <c r="B134" s="259" t="s">
        <v>271</v>
      </c>
      <c r="C134" s="262">
        <v>47.550100000100002</v>
      </c>
      <c r="D134" s="262">
        <v>-79.233233333233329</v>
      </c>
      <c r="E134" s="263">
        <f>IF(OR(C134="",D134=""),"",ACOS((SIN(RADIANS(C134)) * SIN(RADIANS('Hydrologie-Méthode rationnelle'!$C$22))) + (COS(RADIANS(C134)) * COS(RADIANS('Hydrologie-Méthode rationnelle'!$C$22))) * (COS(RADIANS(D134) - RADIANS('Hydrologie-Méthode rationnelle'!$C$23)))) * 6371)</f>
        <v>9202.0957135326589</v>
      </c>
      <c r="F134" s="259">
        <v>266</v>
      </c>
      <c r="G134" s="259" t="s">
        <v>64</v>
      </c>
      <c r="H134" s="259" t="s">
        <v>272</v>
      </c>
      <c r="I134" s="259" t="s">
        <v>329</v>
      </c>
      <c r="J134" s="259">
        <v>34.640999999999998</v>
      </c>
      <c r="K134" s="259">
        <v>18.010000000000002</v>
      </c>
      <c r="L134" s="259">
        <v>23.972000000000001</v>
      </c>
      <c r="M134" s="259">
        <v>27.917999999999999</v>
      </c>
      <c r="N134" s="259">
        <v>31.702000000000002</v>
      </c>
      <c r="O134" s="259">
        <v>32.902999999999999</v>
      </c>
      <c r="P134" s="259">
        <v>36.6</v>
      </c>
      <c r="Q134" s="259">
        <v>40.270000000000003</v>
      </c>
      <c r="R134" s="259">
        <v>-0.7</v>
      </c>
      <c r="S134" s="259">
        <v>-0.70599999999999996</v>
      </c>
      <c r="T134" s="259">
        <v>-0.70799999999999996</v>
      </c>
      <c r="U134" s="259">
        <v>-0.71</v>
      </c>
      <c r="V134" s="259">
        <v>-0.71</v>
      </c>
      <c r="W134" s="259">
        <v>-0.71199999999999997</v>
      </c>
      <c r="X134" s="259">
        <v>-0.71299999999999997</v>
      </c>
      <c r="Y134" s="259">
        <v>20.518999999999998</v>
      </c>
      <c r="Z134" s="259">
        <v>27.152999999999999</v>
      </c>
      <c r="AA134" s="259">
        <v>31.547999999999998</v>
      </c>
      <c r="AB134" s="259">
        <v>35.764000000000003</v>
      </c>
      <c r="AC134" s="259">
        <v>37.101999999999997</v>
      </c>
      <c r="AD134" s="259">
        <v>41.222000000000001</v>
      </c>
      <c r="AE134" s="259">
        <v>45.313000000000002</v>
      </c>
      <c r="AF134" s="259">
        <v>-0.76500000000000001</v>
      </c>
      <c r="AG134" s="259">
        <v>-0.76700000000000002</v>
      </c>
      <c r="AH134" s="259">
        <v>-0.76900000000000002</v>
      </c>
      <c r="AI134" s="259">
        <v>-0.77</v>
      </c>
      <c r="AJ134" s="259">
        <v>-0.77</v>
      </c>
      <c r="AK134" s="259">
        <v>-0.77100000000000002</v>
      </c>
      <c r="AL134" s="259">
        <v>-0.77100000000000002</v>
      </c>
      <c r="AM134" s="259">
        <v>6.6000000000000003E-2</v>
      </c>
      <c r="AN134" s="259">
        <v>6.2E-2</v>
      </c>
      <c r="AO134" s="259">
        <v>0.06</v>
      </c>
      <c r="AP134" s="259">
        <v>5.8999999999999997E-2</v>
      </c>
      <c r="AQ134" s="259">
        <v>5.8999999999999997E-2</v>
      </c>
      <c r="AR134" s="259">
        <v>5.8000000000000003E-2</v>
      </c>
      <c r="AS134" s="259">
        <v>5.8000000000000003E-2</v>
      </c>
    </row>
    <row r="135" spans="1:45" s="259" customFormat="1">
      <c r="A135" s="259" t="s">
        <v>432</v>
      </c>
      <c r="B135" s="259" t="s">
        <v>273</v>
      </c>
      <c r="C135" s="262">
        <v>46.700100000100008</v>
      </c>
      <c r="D135" s="262">
        <v>-79.099899999899989</v>
      </c>
      <c r="E135" s="263">
        <f>IF(OR(C135="",D135=""),"",ACOS((SIN(RADIANS(C135)) * SIN(RADIANS('Hydrologie-Méthode rationnelle'!$C$22))) + (COS(RADIANS(C135)) * COS(RADIANS('Hydrologie-Méthode rationnelle'!$C$22))) * (COS(RADIANS(D135) - RADIANS('Hydrologie-Méthode rationnelle'!$C$23)))) * 6371)</f>
        <v>9178.9798135604633</v>
      </c>
      <c r="F135" s="259">
        <v>181</v>
      </c>
      <c r="G135" s="259" t="s">
        <v>82</v>
      </c>
      <c r="H135" s="259" t="s">
        <v>292</v>
      </c>
      <c r="I135" s="259" t="s">
        <v>330</v>
      </c>
      <c r="J135" s="259">
        <v>38.421999999999997</v>
      </c>
      <c r="K135" s="259">
        <v>17.736999999999998</v>
      </c>
      <c r="L135" s="259">
        <v>23.83</v>
      </c>
      <c r="M135" s="259">
        <v>27.858000000000001</v>
      </c>
      <c r="N135" s="259">
        <v>31.72</v>
      </c>
      <c r="O135" s="259">
        <v>32.945</v>
      </c>
      <c r="P135" s="259">
        <v>36.718000000000004</v>
      </c>
      <c r="Q135" s="259">
        <v>40.460999999999999</v>
      </c>
      <c r="R135" s="259">
        <v>-0.68100000000000005</v>
      </c>
      <c r="S135" s="259">
        <v>-0.68600000000000005</v>
      </c>
      <c r="T135" s="259">
        <v>-0.68799999999999994</v>
      </c>
      <c r="U135" s="259">
        <v>-0.68899999999999995</v>
      </c>
      <c r="V135" s="259">
        <v>-0.68899999999999995</v>
      </c>
      <c r="W135" s="259">
        <v>-0.69</v>
      </c>
      <c r="X135" s="259">
        <v>-0.69099999999999995</v>
      </c>
      <c r="Y135" s="259">
        <v>19.914999999999999</v>
      </c>
      <c r="Z135" s="259">
        <v>27.913</v>
      </c>
      <c r="AA135" s="259">
        <v>33.26</v>
      </c>
      <c r="AB135" s="259">
        <v>38.411999999999999</v>
      </c>
      <c r="AC135" s="259">
        <v>40.048999999999999</v>
      </c>
      <c r="AD135" s="259">
        <v>45.103000000000002</v>
      </c>
      <c r="AE135" s="259">
        <v>50.128</v>
      </c>
      <c r="AF135" s="259">
        <v>-0.73899999999999999</v>
      </c>
      <c r="AG135" s="259">
        <v>-0.76300000000000001</v>
      </c>
      <c r="AH135" s="259">
        <v>-0.77400000000000002</v>
      </c>
      <c r="AI135" s="259">
        <v>-0.78200000000000003</v>
      </c>
      <c r="AJ135" s="259">
        <v>-0.78500000000000003</v>
      </c>
      <c r="AK135" s="259">
        <v>-0.79100000000000004</v>
      </c>
      <c r="AL135" s="259">
        <v>-0.79500000000000004</v>
      </c>
      <c r="AM135" s="259">
        <v>5.8999999999999997E-2</v>
      </c>
      <c r="AN135" s="259">
        <v>8.3000000000000004E-2</v>
      </c>
      <c r="AO135" s="259">
        <v>9.4E-2</v>
      </c>
      <c r="AP135" s="259">
        <v>0.10199999999999999</v>
      </c>
      <c r="AQ135" s="259">
        <v>0.105</v>
      </c>
      <c r="AR135" s="259">
        <v>0.111</v>
      </c>
      <c r="AS135" s="259">
        <v>0.11600000000000001</v>
      </c>
    </row>
    <row r="136" spans="1:45" s="259" customFormat="1">
      <c r="A136" s="259" t="s">
        <v>274</v>
      </c>
      <c r="B136" s="259" t="s">
        <v>275</v>
      </c>
      <c r="C136" s="262">
        <v>48.566766666766675</v>
      </c>
      <c r="D136" s="262">
        <v>-78.116566666566655</v>
      </c>
      <c r="E136" s="263">
        <f>IF(OR(C136="",D136=""),"",ACOS((SIN(RADIANS(C136)) * SIN(RADIANS('Hydrologie-Méthode rationnelle'!$C$22))) + (COS(RADIANS(C136)) * COS(RADIANS('Hydrologie-Méthode rationnelle'!$C$22))) * (COS(RADIANS(D136) - RADIANS('Hydrologie-Méthode rationnelle'!$C$23)))) * 6371)</f>
        <v>9136.6721524626664</v>
      </c>
      <c r="F136" s="259">
        <v>310</v>
      </c>
      <c r="G136" s="259" t="s">
        <v>69</v>
      </c>
      <c r="H136" s="259" t="s">
        <v>95</v>
      </c>
      <c r="I136" s="259" t="s">
        <v>316</v>
      </c>
      <c r="J136" s="259">
        <v>39.381</v>
      </c>
      <c r="K136" s="259">
        <v>18.219000000000001</v>
      </c>
      <c r="L136" s="259">
        <v>25.591000000000001</v>
      </c>
      <c r="M136" s="259">
        <v>30.471</v>
      </c>
      <c r="N136" s="259">
        <v>35.15</v>
      </c>
      <c r="O136" s="259">
        <v>36.634</v>
      </c>
      <c r="P136" s="259">
        <v>41.206000000000003</v>
      </c>
      <c r="Q136" s="259">
        <v>45.744</v>
      </c>
      <c r="R136" s="259">
        <v>-0.64300000000000002</v>
      </c>
      <c r="S136" s="259">
        <v>-0.64500000000000002</v>
      </c>
      <c r="T136" s="259">
        <v>-0.64500000000000002</v>
      </c>
      <c r="U136" s="259">
        <v>-0.64600000000000002</v>
      </c>
      <c r="V136" s="259">
        <v>-0.64600000000000002</v>
      </c>
      <c r="W136" s="259">
        <v>-0.64600000000000002</v>
      </c>
      <c r="X136" s="259">
        <v>-0.64600000000000002</v>
      </c>
      <c r="Y136" s="259">
        <v>22.183</v>
      </c>
      <c r="Z136" s="259">
        <v>31.64</v>
      </c>
      <c r="AA136" s="259">
        <v>37.905999999999999</v>
      </c>
      <c r="AB136" s="259">
        <v>43.918999999999997</v>
      </c>
      <c r="AC136" s="259">
        <v>45.826000000000001</v>
      </c>
      <c r="AD136" s="259">
        <v>51.703000000000003</v>
      </c>
      <c r="AE136" s="259">
        <v>57.537999999999997</v>
      </c>
      <c r="AF136" s="259">
        <v>-0.73899999999999999</v>
      </c>
      <c r="AG136" s="259">
        <v>-0.748</v>
      </c>
      <c r="AH136" s="259">
        <v>-0.751</v>
      </c>
      <c r="AI136" s="259">
        <v>-0.753</v>
      </c>
      <c r="AJ136" s="259">
        <v>-0.754</v>
      </c>
      <c r="AK136" s="259">
        <v>-0.75600000000000001</v>
      </c>
      <c r="AL136" s="259">
        <v>-0.75700000000000001</v>
      </c>
      <c r="AM136" s="259">
        <v>0.114</v>
      </c>
      <c r="AN136" s="259">
        <v>0.124</v>
      </c>
      <c r="AO136" s="259">
        <v>0.128</v>
      </c>
      <c r="AP136" s="259">
        <v>0.13100000000000001</v>
      </c>
      <c r="AQ136" s="259">
        <v>0.13200000000000001</v>
      </c>
      <c r="AR136" s="259">
        <v>0.13400000000000001</v>
      </c>
      <c r="AS136" s="259">
        <v>0.13500000000000001</v>
      </c>
    </row>
    <row r="137" spans="1:45" s="259" customFormat="1">
      <c r="A137" s="259" t="s">
        <v>276</v>
      </c>
      <c r="B137" s="259" t="s">
        <v>277</v>
      </c>
      <c r="C137" s="262">
        <v>49.816766666766675</v>
      </c>
      <c r="D137" s="262">
        <v>-74.966566666566663</v>
      </c>
      <c r="E137" s="263">
        <f>IF(OR(C137="",D137=""),"",ACOS((SIN(RADIANS(C137)) * SIN(RADIANS('Hydrologie-Méthode rationnelle'!$C$22))) + (COS(RADIANS(C137)) * COS(RADIANS('Hydrologie-Méthode rationnelle'!$C$22))) * (COS(RADIANS(D137) - RADIANS('Hydrologie-Méthode rationnelle'!$C$23)))) * 6371)</f>
        <v>8936.2351420020132</v>
      </c>
      <c r="F137" s="259">
        <v>381</v>
      </c>
      <c r="G137" s="259" t="s">
        <v>242</v>
      </c>
      <c r="H137" s="259" t="s">
        <v>292</v>
      </c>
      <c r="I137" s="259" t="s">
        <v>330</v>
      </c>
      <c r="J137" s="259">
        <v>36.140999999999998</v>
      </c>
      <c r="K137" s="259">
        <v>18.234999999999999</v>
      </c>
      <c r="L137" s="259">
        <v>24.003</v>
      </c>
      <c r="M137" s="259">
        <v>27.818999999999999</v>
      </c>
      <c r="N137" s="259">
        <v>31.478999999999999</v>
      </c>
      <c r="O137" s="259">
        <v>32.64</v>
      </c>
      <c r="P137" s="259">
        <v>36.215000000000003</v>
      </c>
      <c r="Q137" s="259">
        <v>39.764000000000003</v>
      </c>
      <c r="R137" s="259">
        <v>-0.69</v>
      </c>
      <c r="S137" s="259">
        <v>-0.69699999999999995</v>
      </c>
      <c r="T137" s="259">
        <v>-0.7</v>
      </c>
      <c r="U137" s="259">
        <v>-0.70199999999999996</v>
      </c>
      <c r="V137" s="259">
        <v>-0.70299999999999996</v>
      </c>
      <c r="W137" s="259">
        <v>-0.70499999999999996</v>
      </c>
      <c r="X137" s="259">
        <v>-0.70599999999999996</v>
      </c>
      <c r="Y137" s="259">
        <v>20.870999999999999</v>
      </c>
      <c r="Z137" s="259">
        <v>27.524000000000001</v>
      </c>
      <c r="AA137" s="259">
        <v>31.93</v>
      </c>
      <c r="AB137" s="259">
        <v>36.156999999999996</v>
      </c>
      <c r="AC137" s="259">
        <v>37.497999999999998</v>
      </c>
      <c r="AD137" s="259">
        <v>41.628999999999998</v>
      </c>
      <c r="AE137" s="259">
        <v>45.73</v>
      </c>
      <c r="AF137" s="259">
        <v>-0.75700000000000001</v>
      </c>
      <c r="AG137" s="259">
        <v>-0.76500000000000001</v>
      </c>
      <c r="AH137" s="259">
        <v>-0.76800000000000002</v>
      </c>
      <c r="AI137" s="259">
        <v>-0.77100000000000002</v>
      </c>
      <c r="AJ137" s="259">
        <v>-0.77200000000000002</v>
      </c>
      <c r="AK137" s="259">
        <v>-0.77400000000000002</v>
      </c>
      <c r="AL137" s="259">
        <v>-0.77500000000000002</v>
      </c>
      <c r="AM137" s="259">
        <v>6.9000000000000006E-2</v>
      </c>
      <c r="AN137" s="259">
        <v>7.0000000000000007E-2</v>
      </c>
      <c r="AO137" s="259">
        <v>7.0000000000000007E-2</v>
      </c>
      <c r="AP137" s="259">
        <v>7.0000000000000007E-2</v>
      </c>
      <c r="AQ137" s="259">
        <v>7.0000000000000007E-2</v>
      </c>
      <c r="AR137" s="259">
        <v>7.0000000000000007E-2</v>
      </c>
      <c r="AS137" s="259">
        <v>7.0000000000000007E-2</v>
      </c>
    </row>
    <row r="138" spans="1:45" s="259" customFormat="1">
      <c r="A138" s="259" t="s">
        <v>433</v>
      </c>
      <c r="B138" s="259" t="s">
        <v>278</v>
      </c>
      <c r="C138" s="262">
        <v>53.616766666766672</v>
      </c>
      <c r="D138" s="262">
        <v>-77.699899999899998</v>
      </c>
      <c r="E138" s="263">
        <f>IF(OR(C138="",D138=""),"",ACOS((SIN(RADIANS(C138)) * SIN(RADIANS('Hydrologie-Méthode rationnelle'!$C$22))) + (COS(RADIANS(C138)) * COS(RADIANS('Hydrologie-Méthode rationnelle'!$C$22))) * (COS(RADIANS(D138) - RADIANS('Hydrologie-Méthode rationnelle'!$C$23)))) * 6371)</f>
        <v>9200.3004774029305</v>
      </c>
      <c r="F138" s="259">
        <v>194</v>
      </c>
      <c r="G138" s="259" t="s">
        <v>94</v>
      </c>
      <c r="H138" s="259" t="s">
        <v>225</v>
      </c>
      <c r="I138" s="259" t="s">
        <v>321</v>
      </c>
      <c r="J138" s="259">
        <v>35.015999999999998</v>
      </c>
      <c r="K138" s="259">
        <v>14.916</v>
      </c>
      <c r="L138" s="259">
        <v>21.550999999999998</v>
      </c>
      <c r="M138" s="259">
        <v>25.905000000000001</v>
      </c>
      <c r="N138" s="259">
        <v>30.065999999999999</v>
      </c>
      <c r="O138" s="259">
        <v>31.382999999999999</v>
      </c>
      <c r="P138" s="259">
        <v>35.436999999999998</v>
      </c>
      <c r="Q138" s="259">
        <v>39.456000000000003</v>
      </c>
      <c r="R138" s="259">
        <v>-0.65400000000000003</v>
      </c>
      <c r="S138" s="259">
        <v>-0.69199999999999995</v>
      </c>
      <c r="T138" s="259">
        <v>-0.70599999999999996</v>
      </c>
      <c r="U138" s="259">
        <v>-0.71699999999999997</v>
      </c>
      <c r="V138" s="259">
        <v>-0.72</v>
      </c>
      <c r="W138" s="259">
        <v>-0.72699999999999998</v>
      </c>
      <c r="X138" s="259">
        <v>-0.73299999999999998</v>
      </c>
      <c r="Y138" s="259">
        <v>16.257000000000001</v>
      </c>
      <c r="Z138" s="259">
        <v>24.853999999999999</v>
      </c>
      <c r="AA138" s="259">
        <v>30.588999999999999</v>
      </c>
      <c r="AB138" s="259">
        <v>36.109000000000002</v>
      </c>
      <c r="AC138" s="259">
        <v>37.863</v>
      </c>
      <c r="AD138" s="259">
        <v>43.276000000000003</v>
      </c>
      <c r="AE138" s="259">
        <v>48.656999999999996</v>
      </c>
      <c r="AF138" s="259">
        <v>-0.69699999999999995</v>
      </c>
      <c r="AG138" s="259">
        <v>-0.76200000000000001</v>
      </c>
      <c r="AH138" s="259">
        <v>-0.78800000000000003</v>
      </c>
      <c r="AI138" s="259">
        <v>-0.80700000000000005</v>
      </c>
      <c r="AJ138" s="259">
        <v>-0.81100000000000005</v>
      </c>
      <c r="AK138" s="259">
        <v>-0.82399999999999995</v>
      </c>
      <c r="AL138" s="259">
        <v>-0.83499999999999996</v>
      </c>
      <c r="AM138" s="259">
        <v>4.4999999999999998E-2</v>
      </c>
      <c r="AN138" s="259">
        <v>7.2999999999999995E-2</v>
      </c>
      <c r="AO138" s="259">
        <v>8.5000000000000006E-2</v>
      </c>
      <c r="AP138" s="259">
        <v>9.2999999999999999E-2</v>
      </c>
      <c r="AQ138" s="259">
        <v>9.5000000000000001E-2</v>
      </c>
      <c r="AR138" s="259">
        <v>0.10100000000000001</v>
      </c>
      <c r="AS138" s="259">
        <v>0.106</v>
      </c>
    </row>
    <row r="139" spans="1:45" s="259" customFormat="1">
      <c r="A139" s="259" t="s">
        <v>434</v>
      </c>
      <c r="B139" s="259" t="s">
        <v>279</v>
      </c>
      <c r="C139" s="262">
        <v>48.766766666766678</v>
      </c>
      <c r="D139" s="262">
        <v>-79.216566666566663</v>
      </c>
      <c r="E139" s="263">
        <f>IF(OR(C139="",D139=""),"",ACOS((SIN(RADIANS(C139)) * SIN(RADIANS('Hydrologie-Méthode rationnelle'!$C$22))) + (COS(RADIANS(C139)) * COS(RADIANS('Hydrologie-Méthode rationnelle'!$C$22))) * (COS(RADIANS(D139) - RADIANS('Hydrologie-Méthode rationnelle'!$C$23)))) * 6371)</f>
        <v>9219.8624049846221</v>
      </c>
      <c r="F139" s="259">
        <v>244</v>
      </c>
      <c r="G139" s="259" t="s">
        <v>229</v>
      </c>
      <c r="H139" s="259" t="s">
        <v>55</v>
      </c>
      <c r="I139" s="259" t="s">
        <v>306</v>
      </c>
      <c r="J139" s="259">
        <v>28.94</v>
      </c>
      <c r="K139" s="259">
        <v>16.260999999999999</v>
      </c>
      <c r="L139" s="259">
        <v>20.914999999999999</v>
      </c>
      <c r="M139" s="259">
        <v>23.984000000000002</v>
      </c>
      <c r="N139" s="259">
        <v>26.923999999999999</v>
      </c>
      <c r="O139" s="259">
        <v>27.856000000000002</v>
      </c>
      <c r="P139" s="259">
        <v>30.724</v>
      </c>
      <c r="Q139" s="259">
        <v>33.569000000000003</v>
      </c>
      <c r="R139" s="259">
        <v>-0.69799999999999995</v>
      </c>
      <c r="S139" s="259">
        <v>-0.70899999999999996</v>
      </c>
      <c r="T139" s="259">
        <v>-0.71399999999999997</v>
      </c>
      <c r="U139" s="259">
        <v>-0.71799999999999997</v>
      </c>
      <c r="V139" s="259">
        <v>-0.71899999999999997</v>
      </c>
      <c r="W139" s="259">
        <v>-0.72099999999999997</v>
      </c>
      <c r="X139" s="259">
        <v>-0.72399999999999998</v>
      </c>
      <c r="Y139" s="259">
        <v>17.934999999999999</v>
      </c>
      <c r="Z139" s="259">
        <v>22.471</v>
      </c>
      <c r="AA139" s="259">
        <v>25.481000000000002</v>
      </c>
      <c r="AB139" s="259">
        <v>28.37</v>
      </c>
      <c r="AC139" s="259">
        <v>29.286999999999999</v>
      </c>
      <c r="AD139" s="259">
        <v>32.113</v>
      </c>
      <c r="AE139" s="259">
        <v>34.92</v>
      </c>
      <c r="AF139" s="259">
        <v>-0.747</v>
      </c>
      <c r="AG139" s="259">
        <v>-0.745</v>
      </c>
      <c r="AH139" s="259">
        <v>-0.745</v>
      </c>
      <c r="AI139" s="259">
        <v>-0.74399999999999999</v>
      </c>
      <c r="AJ139" s="259">
        <v>-0.74399999999999999</v>
      </c>
      <c r="AK139" s="259">
        <v>-0.74399999999999999</v>
      </c>
      <c r="AL139" s="259">
        <v>-0.74399999999999999</v>
      </c>
      <c r="AM139" s="259">
        <v>4.8000000000000001E-2</v>
      </c>
      <c r="AN139" s="259">
        <v>3.4000000000000002E-2</v>
      </c>
      <c r="AO139" s="259">
        <v>2.8000000000000001E-2</v>
      </c>
      <c r="AP139" s="259">
        <v>2.4E-2</v>
      </c>
      <c r="AQ139" s="259">
        <v>2.3E-2</v>
      </c>
      <c r="AR139" s="259">
        <v>0.02</v>
      </c>
      <c r="AS139" s="259">
        <v>1.7999999999999999E-2</v>
      </c>
    </row>
    <row r="140" spans="1:45" s="259" customFormat="1">
      <c r="A140" s="259" t="s">
        <v>435</v>
      </c>
      <c r="B140" s="259" t="s">
        <v>280</v>
      </c>
      <c r="C140" s="262">
        <v>49.766766666766678</v>
      </c>
      <c r="D140" s="262">
        <v>-77.816566666566658</v>
      </c>
      <c r="E140" s="263">
        <f>IF(OR(C140="",D140=""),"",ACOS((SIN(RADIANS(C140)) * SIN(RADIANS('Hydrologie-Méthode rationnelle'!$C$22))) + (COS(RADIANS(C140)) * COS(RADIANS('Hydrologie-Méthode rationnelle'!$C$22))) * (COS(RADIANS(D140) - RADIANS('Hydrologie-Méthode rationnelle'!$C$23)))) * 6371)</f>
        <v>9136.3857614297194</v>
      </c>
      <c r="F140" s="259">
        <v>281</v>
      </c>
      <c r="G140" s="259" t="s">
        <v>69</v>
      </c>
      <c r="H140" s="259" t="s">
        <v>58</v>
      </c>
      <c r="I140" s="259" t="s">
        <v>293</v>
      </c>
      <c r="J140" s="259">
        <v>36.142000000000003</v>
      </c>
      <c r="K140" s="259">
        <v>18.106000000000002</v>
      </c>
      <c r="L140" s="259">
        <v>24.34</v>
      </c>
      <c r="M140" s="259">
        <v>28.463000000000001</v>
      </c>
      <c r="N140" s="259">
        <v>32.417000000000002</v>
      </c>
      <c r="O140" s="259">
        <v>33.670999999999999</v>
      </c>
      <c r="P140" s="259">
        <v>37.533000000000001</v>
      </c>
      <c r="Q140" s="259">
        <v>41.366</v>
      </c>
      <c r="R140" s="259">
        <v>-0.70899999999999996</v>
      </c>
      <c r="S140" s="259">
        <v>-0.71399999999999997</v>
      </c>
      <c r="T140" s="259">
        <v>-0.71699999999999997</v>
      </c>
      <c r="U140" s="259">
        <v>-0.71799999999999997</v>
      </c>
      <c r="V140" s="259">
        <v>-0.71899999999999997</v>
      </c>
      <c r="W140" s="259">
        <v>-0.72</v>
      </c>
      <c r="X140" s="259">
        <v>-0.72099999999999997</v>
      </c>
      <c r="Y140" s="259">
        <v>20.536000000000001</v>
      </c>
      <c r="Z140" s="259">
        <v>28.344000000000001</v>
      </c>
      <c r="AA140" s="259">
        <v>33.540999999999997</v>
      </c>
      <c r="AB140" s="259">
        <v>38.54</v>
      </c>
      <c r="AC140" s="259">
        <v>40.127000000000002</v>
      </c>
      <c r="AD140" s="259">
        <v>45.021999999999998</v>
      </c>
      <c r="AE140" s="259">
        <v>49.887</v>
      </c>
      <c r="AF140" s="259">
        <v>-0.77100000000000002</v>
      </c>
      <c r="AG140" s="259">
        <v>-0.78900000000000003</v>
      </c>
      <c r="AH140" s="259">
        <v>-0.79700000000000004</v>
      </c>
      <c r="AI140" s="259">
        <v>-0.80300000000000005</v>
      </c>
      <c r="AJ140" s="259">
        <v>-0.80500000000000005</v>
      </c>
      <c r="AK140" s="259">
        <v>-0.80900000000000005</v>
      </c>
      <c r="AL140" s="259">
        <v>-0.81299999999999994</v>
      </c>
      <c r="AM140" s="259">
        <v>6.2E-2</v>
      </c>
      <c r="AN140" s="259">
        <v>7.5999999999999998E-2</v>
      </c>
      <c r="AO140" s="259">
        <v>8.2000000000000003E-2</v>
      </c>
      <c r="AP140" s="259">
        <v>8.6999999999999994E-2</v>
      </c>
      <c r="AQ140" s="259">
        <v>8.8999999999999996E-2</v>
      </c>
      <c r="AR140" s="259">
        <v>9.1999999999999998E-2</v>
      </c>
      <c r="AS140" s="259">
        <v>9.5000000000000001E-2</v>
      </c>
    </row>
    <row r="141" spans="1:45" s="259" customFormat="1">
      <c r="A141" s="259" t="s">
        <v>281</v>
      </c>
      <c r="B141" s="259" t="s">
        <v>282</v>
      </c>
      <c r="C141" s="262">
        <v>53.200100000100008</v>
      </c>
      <c r="D141" s="262">
        <v>-70.899899999900001</v>
      </c>
      <c r="E141" s="263">
        <f>IF(OR(C141="",D141=""),"",ACOS((SIN(RADIANS(C141)) * SIN(RADIANS('Hydrologie-Méthode rationnelle'!$C$22))) + (COS(RADIANS(C141)) * COS(RADIANS('Hydrologie-Méthode rationnelle'!$C$22))) * (COS(RADIANS(D141) - RADIANS('Hydrologie-Méthode rationnelle'!$C$23)))) * 6371)</f>
        <v>8750.6143312433287</v>
      </c>
      <c r="F141" s="259">
        <v>536</v>
      </c>
      <c r="G141" s="259" t="s">
        <v>82</v>
      </c>
      <c r="H141" s="259" t="s">
        <v>157</v>
      </c>
      <c r="I141" s="259" t="s">
        <v>306</v>
      </c>
      <c r="J141" s="259">
        <v>23.687000000000001</v>
      </c>
      <c r="K141" s="259">
        <v>12.1</v>
      </c>
      <c r="L141" s="259">
        <v>16.471</v>
      </c>
      <c r="M141" s="259">
        <v>19.329999999999998</v>
      </c>
      <c r="N141" s="259">
        <v>22.058</v>
      </c>
      <c r="O141" s="259">
        <v>22.922000000000001</v>
      </c>
      <c r="P141" s="259">
        <v>25.577000000000002</v>
      </c>
      <c r="Q141" s="259">
        <v>28.207000000000001</v>
      </c>
      <c r="R141" s="259">
        <v>-0.63700000000000001</v>
      </c>
      <c r="S141" s="259">
        <v>-0.67300000000000004</v>
      </c>
      <c r="T141" s="259">
        <v>-0.68799999999999994</v>
      </c>
      <c r="U141" s="259">
        <v>-0.69799999999999995</v>
      </c>
      <c r="V141" s="259">
        <v>-0.70099999999999996</v>
      </c>
      <c r="W141" s="259">
        <v>-0.70899999999999996</v>
      </c>
      <c r="X141" s="259">
        <v>-0.71499999999999997</v>
      </c>
      <c r="Y141" s="259">
        <v>12.824</v>
      </c>
      <c r="Z141" s="259">
        <v>16.738</v>
      </c>
      <c r="AA141" s="259">
        <v>19.376999999999999</v>
      </c>
      <c r="AB141" s="259">
        <v>22.058</v>
      </c>
      <c r="AC141" s="259">
        <v>22.922000000000001</v>
      </c>
      <c r="AD141" s="259">
        <v>25.577000000000002</v>
      </c>
      <c r="AE141" s="259">
        <v>28.207000000000001</v>
      </c>
      <c r="AF141" s="259">
        <v>-0.66600000000000004</v>
      </c>
      <c r="AG141" s="259">
        <v>-0.68100000000000005</v>
      </c>
      <c r="AH141" s="259">
        <v>-0.68899999999999995</v>
      </c>
      <c r="AI141" s="259">
        <v>-0.69799999999999995</v>
      </c>
      <c r="AJ141" s="259">
        <v>-0.70099999999999996</v>
      </c>
      <c r="AK141" s="259">
        <v>-0.70899999999999996</v>
      </c>
      <c r="AL141" s="259">
        <v>-0.71499999999999997</v>
      </c>
      <c r="AM141" s="259">
        <v>0.03</v>
      </c>
      <c r="AN141" s="259">
        <v>8.0000000000000002E-3</v>
      </c>
      <c r="AO141" s="259">
        <v>1E-3</v>
      </c>
      <c r="AP141" s="259">
        <v>0</v>
      </c>
      <c r="AQ141" s="259">
        <v>0</v>
      </c>
      <c r="AR141" s="259">
        <v>0</v>
      </c>
      <c r="AS141" s="259">
        <v>0</v>
      </c>
    </row>
    <row r="142" spans="1:45" s="259" customFormat="1">
      <c r="A142" s="259" t="s">
        <v>436</v>
      </c>
      <c r="B142" s="259" t="s">
        <v>283</v>
      </c>
      <c r="C142" s="262">
        <v>48.200100000100008</v>
      </c>
      <c r="D142" s="262">
        <v>-78.116566666566655</v>
      </c>
      <c r="E142" s="263">
        <f>IF(OR(C142="",D142=""),"",ACOS((SIN(RADIANS(C142)) * SIN(RADIANS('Hydrologie-Méthode rationnelle'!$C$22))) + (COS(RADIANS(C142)) * COS(RADIANS('Hydrologie-Méthode rationnelle'!$C$22))) * (COS(RADIANS(D142) - RADIANS('Hydrologie-Méthode rationnelle'!$C$23)))) * 6371)</f>
        <v>9130.3359430390155</v>
      </c>
      <c r="F142" s="259">
        <v>305</v>
      </c>
      <c r="G142" s="259" t="s">
        <v>92</v>
      </c>
      <c r="H142" s="259" t="s">
        <v>55</v>
      </c>
      <c r="I142" s="259" t="s">
        <v>301</v>
      </c>
      <c r="J142" s="259">
        <v>46.798999999999999</v>
      </c>
      <c r="K142" s="259">
        <v>17.843</v>
      </c>
      <c r="L142" s="259">
        <v>25.57</v>
      </c>
      <c r="M142" s="259">
        <v>30.637</v>
      </c>
      <c r="N142" s="259">
        <v>35.478999999999999</v>
      </c>
      <c r="O142" s="259">
        <v>37.012</v>
      </c>
      <c r="P142" s="259">
        <v>41.728999999999999</v>
      </c>
      <c r="Q142" s="259">
        <v>46.404000000000003</v>
      </c>
      <c r="R142" s="259">
        <v>-0.69199999999999995</v>
      </c>
      <c r="S142" s="259">
        <v>-0.72099999999999997</v>
      </c>
      <c r="T142" s="259">
        <v>-0.73299999999999998</v>
      </c>
      <c r="U142" s="259">
        <v>-0.74099999999999999</v>
      </c>
      <c r="V142" s="259">
        <v>-0.74299999999999999</v>
      </c>
      <c r="W142" s="259">
        <v>-0.749</v>
      </c>
      <c r="X142" s="259">
        <v>-0.754</v>
      </c>
      <c r="Y142" s="259">
        <v>20.948</v>
      </c>
      <c r="Z142" s="259">
        <v>34.021000000000001</v>
      </c>
      <c r="AA142" s="259">
        <v>43.121000000000002</v>
      </c>
      <c r="AB142" s="259">
        <v>52.051000000000002</v>
      </c>
      <c r="AC142" s="259">
        <v>54.914000000000001</v>
      </c>
      <c r="AD142" s="259">
        <v>63.808</v>
      </c>
      <c r="AE142" s="259">
        <v>72.722999999999999</v>
      </c>
      <c r="AF142" s="259">
        <v>-0.77100000000000002</v>
      </c>
      <c r="AG142" s="259">
        <v>-0.85799999999999998</v>
      </c>
      <c r="AH142" s="259">
        <v>-0.89500000000000002</v>
      </c>
      <c r="AI142" s="259">
        <v>-0.92200000000000004</v>
      </c>
      <c r="AJ142" s="259">
        <v>-0.92900000000000005</v>
      </c>
      <c r="AK142" s="259">
        <v>-0.94799999999999995</v>
      </c>
      <c r="AL142" s="259">
        <v>-0.96399999999999997</v>
      </c>
      <c r="AM142" s="259">
        <v>8.4000000000000005E-2</v>
      </c>
      <c r="AN142" s="259">
        <v>0.154</v>
      </c>
      <c r="AO142" s="259">
        <v>0.186</v>
      </c>
      <c r="AP142" s="259">
        <v>0.21</v>
      </c>
      <c r="AQ142" s="259">
        <v>0.217</v>
      </c>
      <c r="AR142" s="259">
        <v>0.23499999999999999</v>
      </c>
      <c r="AS142" s="259">
        <v>0.249</v>
      </c>
    </row>
    <row r="143" spans="1:45" s="259" customFormat="1">
      <c r="A143" s="259" t="s">
        <v>437</v>
      </c>
      <c r="B143" s="259" t="s">
        <v>284</v>
      </c>
      <c r="C143" s="262">
        <v>48.050100000100002</v>
      </c>
      <c r="D143" s="262">
        <v>-77.783233333233326</v>
      </c>
      <c r="E143" s="263">
        <f>IF(OR(C143="",D143=""),"",ACOS((SIN(RADIANS(C143)) * SIN(RADIANS('Hydrologie-Méthode rationnelle'!$C$22))) + (COS(RADIANS(C143)) * COS(RADIANS('Hydrologie-Méthode rationnelle'!$C$22))) * (COS(RADIANS(D143) - RADIANS('Hydrologie-Méthode rationnelle'!$C$23)))) * 6371)</f>
        <v>9103.2833052766691</v>
      </c>
      <c r="F143" s="259">
        <v>336</v>
      </c>
      <c r="G143" s="259" t="s">
        <v>97</v>
      </c>
      <c r="H143" s="259" t="s">
        <v>292</v>
      </c>
      <c r="I143" s="259" t="s">
        <v>331</v>
      </c>
      <c r="J143" s="259">
        <v>31.231000000000002</v>
      </c>
      <c r="K143" s="259">
        <v>17.239999999999998</v>
      </c>
      <c r="L143" s="259">
        <v>21.532</v>
      </c>
      <c r="M143" s="259">
        <v>24.370999999999999</v>
      </c>
      <c r="N143" s="259">
        <v>27.091999999999999</v>
      </c>
      <c r="O143" s="259">
        <v>27.954999999999998</v>
      </c>
      <c r="P143" s="259">
        <v>30.614000000000001</v>
      </c>
      <c r="Q143" s="259">
        <v>33.252000000000002</v>
      </c>
      <c r="R143" s="259">
        <v>-0.69</v>
      </c>
      <c r="S143" s="259">
        <v>-0.69499999999999995</v>
      </c>
      <c r="T143" s="259">
        <v>-0.69799999999999995</v>
      </c>
      <c r="U143" s="259">
        <v>-0.7</v>
      </c>
      <c r="V143" s="259">
        <v>-0.7</v>
      </c>
      <c r="W143" s="259">
        <v>-0.70199999999999996</v>
      </c>
      <c r="X143" s="259">
        <v>-0.70299999999999996</v>
      </c>
      <c r="Y143" s="259">
        <v>19.620999999999999</v>
      </c>
      <c r="Z143" s="259">
        <v>24.821999999999999</v>
      </c>
      <c r="AA143" s="259">
        <v>28.276</v>
      </c>
      <c r="AB143" s="259">
        <v>31.594999999999999</v>
      </c>
      <c r="AC143" s="259">
        <v>32.649000000000001</v>
      </c>
      <c r="AD143" s="259">
        <v>35.898000000000003</v>
      </c>
      <c r="AE143" s="259">
        <v>39.125999999999998</v>
      </c>
      <c r="AF143" s="259">
        <v>-0.754</v>
      </c>
      <c r="AG143" s="259">
        <v>-0.76500000000000001</v>
      </c>
      <c r="AH143" s="259">
        <v>-0.77100000000000002</v>
      </c>
      <c r="AI143" s="259">
        <v>-0.77600000000000002</v>
      </c>
      <c r="AJ143" s="259">
        <v>-0.77700000000000002</v>
      </c>
      <c r="AK143" s="259">
        <v>-0.78</v>
      </c>
      <c r="AL143" s="259">
        <v>-0.78300000000000003</v>
      </c>
      <c r="AM143" s="259">
        <v>6.6000000000000003E-2</v>
      </c>
      <c r="AN143" s="259">
        <v>7.2999999999999995E-2</v>
      </c>
      <c r="AO143" s="259">
        <v>7.5999999999999998E-2</v>
      </c>
      <c r="AP143" s="259">
        <v>7.9000000000000001E-2</v>
      </c>
      <c r="AQ143" s="259">
        <v>7.9000000000000001E-2</v>
      </c>
      <c r="AR143" s="259">
        <v>8.2000000000000003E-2</v>
      </c>
      <c r="AS143" s="259">
        <v>8.3000000000000004E-2</v>
      </c>
    </row>
    <row r="144" spans="1:45" s="259" customFormat="1">
      <c r="A144" s="259" t="s">
        <v>438</v>
      </c>
      <c r="B144" s="259" t="s">
        <v>285</v>
      </c>
      <c r="C144" s="262">
        <v>58.466766666766674</v>
      </c>
      <c r="D144" s="262">
        <v>-78.066566666566658</v>
      </c>
      <c r="E144" s="263">
        <f>IF(OR(C144="",D144=""),"",ACOS((SIN(RADIANS(C144)) * SIN(RADIANS('Hydrologie-Méthode rationnelle'!$C$22))) + (COS(RADIANS(C144)) * COS(RADIANS('Hydrologie-Méthode rationnelle'!$C$22))) * (COS(RADIANS(D144) - RADIANS('Hydrologie-Méthode rationnelle'!$C$23)))) * 6371)</f>
        <v>9317.2210099680797</v>
      </c>
      <c r="F144" s="259">
        <v>26</v>
      </c>
      <c r="G144" s="259" t="s">
        <v>84</v>
      </c>
      <c r="H144" s="259" t="s">
        <v>292</v>
      </c>
      <c r="I144" s="259" t="s">
        <v>318</v>
      </c>
      <c r="J144" s="259">
        <v>20.074999999999999</v>
      </c>
      <c r="K144" s="259">
        <v>8.2210000000000001</v>
      </c>
      <c r="L144" s="259">
        <v>12.157</v>
      </c>
      <c r="M144" s="259">
        <v>14.754</v>
      </c>
      <c r="N144" s="259">
        <v>17.239999999999998</v>
      </c>
      <c r="O144" s="259">
        <v>18.029</v>
      </c>
      <c r="P144" s="259">
        <v>20.456</v>
      </c>
      <c r="Q144" s="259">
        <v>22.864000000000001</v>
      </c>
      <c r="R144" s="259">
        <v>-0.56200000000000006</v>
      </c>
      <c r="S144" s="259">
        <v>-0.58899999999999997</v>
      </c>
      <c r="T144" s="259">
        <v>-0.59899999999999998</v>
      </c>
      <c r="U144" s="259">
        <v>-0.60599999999999998</v>
      </c>
      <c r="V144" s="259">
        <v>-0.60799999999999998</v>
      </c>
      <c r="W144" s="259">
        <v>-0.61299999999999999</v>
      </c>
      <c r="X144" s="259">
        <v>-0.61599999999999999</v>
      </c>
      <c r="Y144" s="259">
        <v>9.6010000000000009</v>
      </c>
      <c r="Z144" s="259">
        <v>14.64</v>
      </c>
      <c r="AA144" s="259">
        <v>18.004000000000001</v>
      </c>
      <c r="AB144" s="259">
        <v>21.242000000000001</v>
      </c>
      <c r="AC144" s="259">
        <v>22.271000000000001</v>
      </c>
      <c r="AD144" s="259">
        <v>25.446000000000002</v>
      </c>
      <c r="AE144" s="259">
        <v>28.602</v>
      </c>
      <c r="AF144" s="259">
        <v>-0.63700000000000001</v>
      </c>
      <c r="AG144" s="259">
        <v>-0.67900000000000005</v>
      </c>
      <c r="AH144" s="259">
        <v>-0.69499999999999995</v>
      </c>
      <c r="AI144" s="259">
        <v>-0.70699999999999996</v>
      </c>
      <c r="AJ144" s="259">
        <v>-0.71</v>
      </c>
      <c r="AK144" s="259">
        <v>-0.71799999999999997</v>
      </c>
      <c r="AL144" s="259">
        <v>-0.72399999999999998</v>
      </c>
      <c r="AM144" s="259">
        <v>0.10199999999999999</v>
      </c>
      <c r="AN144" s="259">
        <v>0.11899999999999999</v>
      </c>
      <c r="AO144" s="259">
        <v>0.126</v>
      </c>
      <c r="AP144" s="259">
        <v>0.13100000000000001</v>
      </c>
      <c r="AQ144" s="259">
        <v>0.13200000000000001</v>
      </c>
      <c r="AR144" s="259">
        <v>0.13600000000000001</v>
      </c>
      <c r="AS144" s="259">
        <v>0.13900000000000001</v>
      </c>
    </row>
    <row r="145" spans="1:45" s="259" customFormat="1">
      <c r="A145" s="259" t="s">
        <v>439</v>
      </c>
      <c r="B145" s="259" t="s">
        <v>286</v>
      </c>
      <c r="C145" s="262">
        <v>58.100100000100007</v>
      </c>
      <c r="D145" s="262">
        <v>-68.416566666566666</v>
      </c>
      <c r="E145" s="263">
        <f>IF(OR(C145="",D145=""),"",ACOS((SIN(RADIANS(C145)) * SIN(RADIANS('Hydrologie-Méthode rationnelle'!$C$22))) + (COS(RADIANS(C145)) * COS(RADIANS('Hydrologie-Méthode rationnelle'!$C$22))) * (COS(RADIANS(D145) - RADIANS('Hydrologie-Méthode rationnelle'!$C$23)))) * 6371)</f>
        <v>8761.15900371936</v>
      </c>
      <c r="F145" s="259">
        <v>39</v>
      </c>
      <c r="G145" s="259" t="s">
        <v>84</v>
      </c>
      <c r="H145" s="259" t="s">
        <v>287</v>
      </c>
      <c r="I145" s="259" t="s">
        <v>318</v>
      </c>
      <c r="J145" s="259">
        <v>18.579000000000001</v>
      </c>
      <c r="K145" s="259">
        <v>8.5939999999999994</v>
      </c>
      <c r="L145" s="259">
        <v>12.547000000000001</v>
      </c>
      <c r="M145" s="259">
        <v>15.153</v>
      </c>
      <c r="N145" s="259">
        <v>17.649000000000001</v>
      </c>
      <c r="O145" s="259">
        <v>18.440000000000001</v>
      </c>
      <c r="P145" s="259">
        <v>20.876000000000001</v>
      </c>
      <c r="Q145" s="259">
        <v>23.292999999999999</v>
      </c>
      <c r="R145" s="259">
        <v>-0.58799999999999997</v>
      </c>
      <c r="S145" s="259">
        <v>-0.61499999999999999</v>
      </c>
      <c r="T145" s="259">
        <v>-0.626</v>
      </c>
      <c r="U145" s="259">
        <v>-0.63300000000000001</v>
      </c>
      <c r="V145" s="259">
        <v>-0.63400000000000001</v>
      </c>
      <c r="W145" s="259">
        <v>-0.63900000000000001</v>
      </c>
      <c r="X145" s="259">
        <v>-0.64300000000000002</v>
      </c>
      <c r="Y145" s="259">
        <v>9.5779999999999994</v>
      </c>
      <c r="Z145" s="259">
        <v>13.898</v>
      </c>
      <c r="AA145" s="259">
        <v>16.765000000000001</v>
      </c>
      <c r="AB145" s="259">
        <v>19.518000000000001</v>
      </c>
      <c r="AC145" s="259">
        <v>20.390999999999998</v>
      </c>
      <c r="AD145" s="259">
        <v>23.082999999999998</v>
      </c>
      <c r="AE145" s="259">
        <v>25.754999999999999</v>
      </c>
      <c r="AF145" s="259">
        <v>-0.64200000000000002</v>
      </c>
      <c r="AG145" s="259">
        <v>-0.66600000000000004</v>
      </c>
      <c r="AH145" s="259">
        <v>-0.67600000000000005</v>
      </c>
      <c r="AI145" s="259">
        <v>-0.68300000000000005</v>
      </c>
      <c r="AJ145" s="259">
        <v>-0.68500000000000005</v>
      </c>
      <c r="AK145" s="259">
        <v>-0.68899999999999995</v>
      </c>
      <c r="AL145" s="259">
        <v>-0.69299999999999995</v>
      </c>
      <c r="AM145" s="259">
        <v>6.5000000000000002E-2</v>
      </c>
      <c r="AN145" s="259">
        <v>5.8000000000000003E-2</v>
      </c>
      <c r="AO145" s="259">
        <v>5.6000000000000001E-2</v>
      </c>
      <c r="AP145" s="259">
        <v>5.5E-2</v>
      </c>
      <c r="AQ145" s="259">
        <v>5.5E-2</v>
      </c>
      <c r="AR145" s="259">
        <v>5.3999999999999999E-2</v>
      </c>
      <c r="AS145" s="259">
        <v>5.3999999999999999E-2</v>
      </c>
    </row>
    <row r="146" spans="1:45" s="259" customFormat="1">
      <c r="A146" s="259" t="s">
        <v>288</v>
      </c>
      <c r="B146" s="259" t="s">
        <v>289</v>
      </c>
      <c r="C146" s="262">
        <v>61.050100000100002</v>
      </c>
      <c r="D146" s="262">
        <v>-69.616566666566655</v>
      </c>
      <c r="E146" s="263">
        <f>IF(OR(C146="",D146=""),"",ACOS((SIN(RADIANS(C146)) * SIN(RADIANS('Hydrologie-Méthode rationnelle'!$C$22))) + (COS(RADIANS(C146)) * COS(RADIANS('Hydrologie-Méthode rationnelle'!$C$22))) * (COS(RADIANS(D146) - RADIANS('Hydrologie-Méthode rationnelle'!$C$23)))) * 6371)</f>
        <v>8928.2812436951717</v>
      </c>
      <c r="F146" s="259">
        <v>30</v>
      </c>
      <c r="G146" s="259" t="s">
        <v>50</v>
      </c>
      <c r="H146" s="259" t="s">
        <v>109</v>
      </c>
      <c r="I146" s="259" t="s">
        <v>303</v>
      </c>
      <c r="J146" s="259">
        <v>9.6280000000000001</v>
      </c>
      <c r="K146" s="259">
        <v>5.6440000000000001</v>
      </c>
      <c r="L146" s="259">
        <v>7.4390000000000001</v>
      </c>
      <c r="M146" s="259">
        <v>8.6199999999999992</v>
      </c>
      <c r="N146" s="259">
        <v>9.7490000000000006</v>
      </c>
      <c r="O146" s="259">
        <v>10.106999999999999</v>
      </c>
      <c r="P146" s="259">
        <v>11.207000000000001</v>
      </c>
      <c r="Q146" s="259">
        <v>12.298999999999999</v>
      </c>
      <c r="R146" s="259">
        <v>-0.52700000000000002</v>
      </c>
      <c r="S146" s="259">
        <v>-0.54500000000000004</v>
      </c>
      <c r="T146" s="259">
        <v>-0.55200000000000005</v>
      </c>
      <c r="U146" s="259">
        <v>-0.55700000000000005</v>
      </c>
      <c r="V146" s="259">
        <v>-0.55900000000000005</v>
      </c>
      <c r="W146" s="259">
        <v>-0.56200000000000006</v>
      </c>
      <c r="X146" s="259">
        <v>-0.56499999999999995</v>
      </c>
      <c r="Y146" s="259">
        <v>6.6269999999999998</v>
      </c>
      <c r="Z146" s="259">
        <v>7.95</v>
      </c>
      <c r="AA146" s="259">
        <v>8.9350000000000005</v>
      </c>
      <c r="AB146" s="259">
        <v>9.9120000000000008</v>
      </c>
      <c r="AC146" s="259">
        <v>10.226000000000001</v>
      </c>
      <c r="AD146" s="259">
        <v>11.207000000000001</v>
      </c>
      <c r="AE146" s="259">
        <v>12.298999999999999</v>
      </c>
      <c r="AF146" s="259">
        <v>-0.60499999999999998</v>
      </c>
      <c r="AG146" s="259">
        <v>-0.57799999999999996</v>
      </c>
      <c r="AH146" s="259">
        <v>-0.56999999999999995</v>
      </c>
      <c r="AI146" s="259">
        <v>-0.56599999999999995</v>
      </c>
      <c r="AJ146" s="259">
        <v>-0.56499999999999995</v>
      </c>
      <c r="AK146" s="259">
        <v>-0.56200000000000006</v>
      </c>
      <c r="AL146" s="259">
        <v>-0.56499999999999995</v>
      </c>
      <c r="AM146" s="259">
        <v>0.114</v>
      </c>
      <c r="AN146" s="259">
        <v>4.1000000000000002E-2</v>
      </c>
      <c r="AO146" s="259">
        <v>2.1000000000000001E-2</v>
      </c>
      <c r="AP146" s="259">
        <v>0.01</v>
      </c>
      <c r="AQ146" s="259">
        <v>7.0000000000000001E-3</v>
      </c>
      <c r="AR146" s="259">
        <v>0</v>
      </c>
      <c r="AS146" s="259">
        <v>0</v>
      </c>
    </row>
    <row r="147" spans="1:45" s="259" customFormat="1">
      <c r="A147" s="259" t="s">
        <v>403</v>
      </c>
      <c r="B147" s="259" t="s">
        <v>290</v>
      </c>
      <c r="C147" s="262">
        <v>54.800100000100002</v>
      </c>
      <c r="D147" s="262">
        <v>-66.799899999899992</v>
      </c>
      <c r="E147" s="263">
        <f>IF(OR(C147="",D147=""),"",ACOS((SIN(RADIANS(C147)) * SIN(RADIANS('Hydrologie-Méthode rationnelle'!$C$22))) + (COS(RADIANS(C147)) * COS(RADIANS('Hydrologie-Méthode rationnelle'!$C$22))) * (COS(RADIANS(D147) - RADIANS('Hydrologie-Méthode rationnelle'!$C$23)))) * 6371)</f>
        <v>8548.0776215973274</v>
      </c>
      <c r="F147" s="259">
        <v>517</v>
      </c>
      <c r="G147" s="259" t="s">
        <v>133</v>
      </c>
      <c r="H147" s="259" t="s">
        <v>332</v>
      </c>
      <c r="I147" s="259" t="s">
        <v>300</v>
      </c>
      <c r="J147" s="259">
        <v>20.626000000000001</v>
      </c>
      <c r="K147" s="259">
        <v>10.63</v>
      </c>
      <c r="L147" s="259">
        <v>14.778</v>
      </c>
      <c r="M147" s="259">
        <v>17.507000000000001</v>
      </c>
      <c r="N147" s="259">
        <v>20.12</v>
      </c>
      <c r="O147" s="259">
        <v>20.946999999999999</v>
      </c>
      <c r="P147" s="259">
        <v>23.495000000000001</v>
      </c>
      <c r="Q147" s="259">
        <v>26.021999999999998</v>
      </c>
      <c r="R147" s="259">
        <v>-0.59</v>
      </c>
      <c r="S147" s="259">
        <v>-0.61799999999999999</v>
      </c>
      <c r="T147" s="259">
        <v>-0.629</v>
      </c>
      <c r="U147" s="259">
        <v>-0.63700000000000001</v>
      </c>
      <c r="V147" s="259">
        <v>-0.63900000000000001</v>
      </c>
      <c r="W147" s="259">
        <v>-0.64400000000000002</v>
      </c>
      <c r="X147" s="259">
        <v>-0.64900000000000002</v>
      </c>
      <c r="Y147" s="259">
        <v>10.637</v>
      </c>
      <c r="Z147" s="259">
        <v>14.778</v>
      </c>
      <c r="AA147" s="259">
        <v>17.507000000000001</v>
      </c>
      <c r="AB147" s="259">
        <v>20.12</v>
      </c>
      <c r="AC147" s="259">
        <v>20.946999999999999</v>
      </c>
      <c r="AD147" s="259">
        <v>23.495000000000001</v>
      </c>
      <c r="AE147" s="259">
        <v>26.021999999999998</v>
      </c>
      <c r="AF147" s="259">
        <v>-0.59099999999999997</v>
      </c>
      <c r="AG147" s="259">
        <v>-0.61799999999999999</v>
      </c>
      <c r="AH147" s="259">
        <v>-0.629</v>
      </c>
      <c r="AI147" s="259">
        <v>-0.63700000000000001</v>
      </c>
      <c r="AJ147" s="259">
        <v>-0.63900000000000001</v>
      </c>
      <c r="AK147" s="259">
        <v>-0.64400000000000002</v>
      </c>
      <c r="AL147" s="259">
        <v>-0.64900000000000002</v>
      </c>
      <c r="AM147" s="259">
        <v>0</v>
      </c>
      <c r="AN147" s="259">
        <v>0</v>
      </c>
      <c r="AO147" s="259">
        <v>0</v>
      </c>
      <c r="AP147" s="259">
        <v>0</v>
      </c>
      <c r="AQ147" s="259">
        <v>0</v>
      </c>
      <c r="AR147" s="259">
        <v>0</v>
      </c>
      <c r="AS147" s="259">
        <v>0</v>
      </c>
    </row>
    <row r="148" spans="1:45" s="286" customFormat="1">
      <c r="A148" s="285"/>
      <c r="B148" s="285"/>
      <c r="C148" s="285"/>
      <c r="D148" s="285"/>
      <c r="E148" s="285"/>
      <c r="F148" s="285"/>
      <c r="G148" s="285"/>
      <c r="H148" s="285"/>
      <c r="I148" s="285"/>
      <c r="J148" s="285"/>
      <c r="K148" s="285"/>
      <c r="R148" s="287"/>
      <c r="Z148" s="288"/>
    </row>
    <row r="149" spans="1:45">
      <c r="B149" s="289"/>
      <c r="C149" s="289"/>
      <c r="D149" s="289"/>
      <c r="E149" s="263" t="str">
        <f>IF(OR(C149="",D149=""),"",ACOS((SIN(RADIANS(C149)) * SIN(RADIANS('Hydrologie-Méthode rationnelle'!$C$22))) + (COS(RADIANS(C149)) * COS(RADIANS('Hydrologie-Méthode rationnelle'!$C$22))) * (COS(RADIANS(D149) - RADIANS('Hydrologie-Méthode rationnelle'!$C$23)))) * 6371)</f>
        <v/>
      </c>
      <c r="F149" s="289"/>
      <c r="G149" s="290"/>
      <c r="H149" s="289"/>
      <c r="I149" s="289"/>
      <c r="J149" s="289"/>
      <c r="K149" s="289"/>
      <c r="L149" s="289"/>
      <c r="M149" s="289"/>
      <c r="N149" s="289"/>
      <c r="O149" s="289"/>
      <c r="P149" s="289"/>
      <c r="Q149" s="289"/>
      <c r="R149" s="291"/>
      <c r="S149" s="289"/>
      <c r="T149" s="289"/>
      <c r="U149" s="289"/>
      <c r="V149" s="289"/>
      <c r="W149" s="289"/>
      <c r="X149" s="289"/>
      <c r="Y149" s="289"/>
      <c r="Z149" s="292"/>
      <c r="AA149" s="289"/>
      <c r="AB149" s="289"/>
      <c r="AC149" s="289"/>
      <c r="AD149" s="289"/>
      <c r="AE149" s="289"/>
      <c r="AF149" s="289"/>
      <c r="AG149" s="289"/>
      <c r="AH149" s="289"/>
      <c r="AI149" s="289"/>
      <c r="AJ149" s="289"/>
      <c r="AK149" s="289"/>
      <c r="AL149" s="289"/>
      <c r="AN149" s="289"/>
      <c r="AO149" s="289"/>
      <c r="AP149" s="289"/>
      <c r="AQ149" s="289"/>
      <c r="AR149" s="289"/>
      <c r="AS149" s="289"/>
    </row>
    <row r="150" spans="1:45">
      <c r="B150" s="289"/>
      <c r="E150" s="265" t="str">
        <f>IF(OR(C150="",D150=""),"",ACOS((SIN(RADIANS(C150)) * SIN(RADIANS('Hydrologie-Méthode rationnelle'!$C$22))) + (COS(RADIANS(C150)) * COS(RADIANS('Hydrologie-Méthode rationnelle'!$C$22))) * (COS(RADIANS(D150) - RADIANS('Hydrologie-Méthode rationnelle'!$C$23)))) * 6371)</f>
        <v/>
      </c>
      <c r="F150" s="289"/>
      <c r="G150" s="290"/>
      <c r="R150" s="291"/>
      <c r="Z150" s="292"/>
    </row>
    <row r="151" spans="1:45">
      <c r="E151" s="263" t="str">
        <f>IF(OR(C151="",D151=""),"",ACOS((SIN(RADIANS(C151)) * SIN(RADIANS('Hydrologie-Méthode rationnelle'!$C$22))) + (COS(RADIANS(C151)) * COS(RADIANS('Hydrologie-Méthode rationnelle'!$C$22))) * (COS(RADIANS(D151) - RADIANS('Hydrologie-Méthode rationnelle'!$C$23)))) * 6371)</f>
        <v/>
      </c>
      <c r="G151" s="290"/>
    </row>
    <row r="152" spans="1:45">
      <c r="E152" s="263" t="str">
        <f>IF(OR(C152="",D152=""),"",ACOS((SIN(RADIANS(C152)) * SIN(RADIANS('Hydrologie-Méthode rationnelle'!$C$22))) + (COS(RADIANS(C152)) * COS(RADIANS('Hydrologie-Méthode rationnelle'!$C$22))) * (COS(RADIANS(D152) - RADIANS('Hydrologie-Méthode rationnelle'!$C$23)))) * 6371)</f>
        <v/>
      </c>
      <c r="G152" s="290"/>
    </row>
    <row r="153" spans="1:45">
      <c r="E153" s="263" t="str">
        <f>IF(OR(G153="",H153=""),"",ACOS((SIN(RADIANS(G153)) * SIN(RADIANS('Hydrologie-Méthode rationnelle'!$C$22))) + (COS(RADIANS(G153)) * COS(RADIANS('Hydrologie-Méthode rationnelle'!$C$22))) * (COS(RADIANS(H153) - RADIANS('Hydrologie-Méthode rationnelle'!$C$23)))) * 6371)</f>
        <v/>
      </c>
      <c r="G153" s="293"/>
      <c r="H153" s="293"/>
    </row>
    <row r="154" spans="1:45">
      <c r="E154" s="263" t="str">
        <f>IF(OR(G154="",H154=""),"",ACOS((SIN(RADIANS(G154)) * SIN(RADIANS('Hydrologie-Méthode rationnelle'!$C$22))) + (COS(RADIANS(G154)) * COS(RADIANS('Hydrologie-Méthode rationnelle'!$C$22))) * (COS(RADIANS(H154) - RADIANS('Hydrologie-Méthode rationnelle'!$C$23)))) * 6371)</f>
        <v/>
      </c>
      <c r="G154" s="293"/>
      <c r="H154" s="293"/>
    </row>
    <row r="155" spans="1:45">
      <c r="E155" s="263" t="str">
        <f>IF(OR(G155="",H155=""),"",ACOS((SIN(RADIANS(G155)) * SIN(RADIANS('Hydrologie-Méthode rationnelle'!$C$22))) + (COS(RADIANS(G155)) * COS(RADIANS('Hydrologie-Méthode rationnelle'!$C$22))) * (COS(RADIANS(H155) - RADIANS('Hydrologie-Méthode rationnelle'!$C$23)))) * 6371)</f>
        <v/>
      </c>
      <c r="G155" s="293"/>
      <c r="H155" s="293"/>
    </row>
    <row r="156" spans="1:45">
      <c r="E156" s="263" t="str">
        <f>IF(OR(G156="",H156=""),"",ACOS((SIN(RADIANS(G156)) * SIN(RADIANS('Hydrologie-Méthode rationnelle'!$C$22))) + (COS(RADIANS(G156)) * COS(RADIANS('Hydrologie-Méthode rationnelle'!$C$22))) * (COS(RADIANS(H156) - RADIANS('Hydrologie-Méthode rationnelle'!$C$23)))) * 6371)</f>
        <v/>
      </c>
      <c r="G156" s="293"/>
      <c r="H156" s="293"/>
    </row>
    <row r="157" spans="1:45">
      <c r="E157" s="263" t="str">
        <f>IF(OR(G157="",H157=""),"",ACOS((SIN(RADIANS(G157)) * SIN(RADIANS('Hydrologie-Méthode rationnelle'!$C$22))) + (COS(RADIANS(G157)) * COS(RADIANS('Hydrologie-Méthode rationnelle'!$C$22))) * (COS(RADIANS(H157) - RADIANS('Hydrologie-Méthode rationnelle'!$C$23)))) * 6371)</f>
        <v/>
      </c>
      <c r="G157" s="293"/>
      <c r="H157" s="293"/>
    </row>
    <row r="158" spans="1:45">
      <c r="E158" s="263" t="str">
        <f>IF(OR(G158="",H158=""),"",ACOS((SIN(RADIANS(G158)) * SIN(RADIANS('Hydrologie-Méthode rationnelle'!$C$22))) + (COS(RADIANS(G158)) * COS(RADIANS('Hydrologie-Méthode rationnelle'!$C$22))) * (COS(RADIANS(H158) - RADIANS('Hydrologie-Méthode rationnelle'!$C$23)))) * 6371)</f>
        <v/>
      </c>
      <c r="G158" s="293"/>
      <c r="H158" s="293"/>
    </row>
    <row r="159" spans="1:45">
      <c r="E159" s="263" t="str">
        <f>IF(OR(G159="",H159=""),"",ACOS((SIN(RADIANS(G159)) * SIN(RADIANS('Hydrologie-Méthode rationnelle'!$C$22))) + (COS(RADIANS(G159)) * COS(RADIANS('Hydrologie-Méthode rationnelle'!$C$22))) * (COS(RADIANS(H159) - RADIANS('Hydrologie-Méthode rationnelle'!$C$23)))) * 6371)</f>
        <v/>
      </c>
      <c r="G159" s="293"/>
      <c r="H159" s="293"/>
    </row>
    <row r="160" spans="1:45">
      <c r="E160" s="263" t="str">
        <f>IF(OR(G160="",H160=""),"",ACOS((SIN(RADIANS(G160)) * SIN(RADIANS('Hydrologie-Méthode rationnelle'!$C$22))) + (COS(RADIANS(G160)) * COS(RADIANS('Hydrologie-Méthode rationnelle'!$C$22))) * (COS(RADIANS(H160) - RADIANS('Hydrologie-Méthode rationnelle'!$C$23)))) * 6371)</f>
        <v/>
      </c>
      <c r="G160" s="293"/>
      <c r="H160" s="293"/>
    </row>
    <row r="161" spans="5:8">
      <c r="E161" s="263" t="str">
        <f>IF(OR(G161="",H161=""),"",ACOS((SIN(RADIANS(G161)) * SIN(RADIANS('Hydrologie-Méthode rationnelle'!$C$22))) + (COS(RADIANS(G161)) * COS(RADIANS('Hydrologie-Méthode rationnelle'!$C$22))) * (COS(RADIANS(H161) - RADIANS('Hydrologie-Méthode rationnelle'!$C$23)))) * 6371)</f>
        <v/>
      </c>
      <c r="G161" s="293"/>
      <c r="H161" s="293"/>
    </row>
    <row r="162" spans="5:8">
      <c r="E162" s="263" t="str">
        <f>IF(OR(G162="",H162=""),"",ACOS((SIN(RADIANS(G162)) * SIN(RADIANS('Hydrologie-Méthode rationnelle'!$C$22))) + (COS(RADIANS(G162)) * COS(RADIANS('Hydrologie-Méthode rationnelle'!$C$22))) * (COS(RADIANS(H162) - RADIANS('Hydrologie-Méthode rationnelle'!$C$23)))) * 6371)</f>
        <v/>
      </c>
      <c r="G162" s="293"/>
      <c r="H162" s="293"/>
    </row>
    <row r="163" spans="5:8">
      <c r="E163" s="263" t="str">
        <f>IF(OR(G163="",H163=""),"",ACOS((SIN(RADIANS(G163)) * SIN(RADIANS('Hydrologie-Méthode rationnelle'!$C$22))) + (COS(RADIANS(G163)) * COS(RADIANS('Hydrologie-Méthode rationnelle'!$C$22))) * (COS(RADIANS(H163) - RADIANS('Hydrologie-Méthode rationnelle'!$C$23)))) * 6371)</f>
        <v/>
      </c>
      <c r="G163" s="293"/>
      <c r="H163" s="293"/>
    </row>
    <row r="164" spans="5:8">
      <c r="E164" s="263" t="str">
        <f>IF(OR(G164="",H164=""),"",ACOS((SIN(RADIANS(G164)) * SIN(RADIANS('Hydrologie-Méthode rationnelle'!$C$22))) + (COS(RADIANS(G164)) * COS(RADIANS('Hydrologie-Méthode rationnelle'!$C$22))) * (COS(RADIANS(H164) - RADIANS('Hydrologie-Méthode rationnelle'!$C$23)))) * 6371)</f>
        <v/>
      </c>
      <c r="G164" s="293"/>
      <c r="H164" s="293"/>
    </row>
    <row r="165" spans="5:8">
      <c r="E165" s="263" t="str">
        <f>IF(OR(G165="",H165=""),"",ACOS((SIN(RADIANS(G165)) * SIN(RADIANS('Hydrologie-Méthode rationnelle'!$C$22))) + (COS(RADIANS(G165)) * COS(RADIANS('Hydrologie-Méthode rationnelle'!$C$22))) * (COS(RADIANS(H165) - RADIANS('Hydrologie-Méthode rationnelle'!$C$23)))) * 6371)</f>
        <v/>
      </c>
      <c r="G165" s="293"/>
      <c r="H165" s="293"/>
    </row>
    <row r="166" spans="5:8">
      <c r="E166" s="263" t="str">
        <f>IF(OR(G166="",H166=""),"",ACOS((SIN(RADIANS(G166)) * SIN(RADIANS('Hydrologie-Méthode rationnelle'!$C$22))) + (COS(RADIANS(G166)) * COS(RADIANS('Hydrologie-Méthode rationnelle'!$C$22))) * (COS(RADIANS(H166) - RADIANS('Hydrologie-Méthode rationnelle'!$C$23)))) * 6371)</f>
        <v/>
      </c>
      <c r="G166" s="293"/>
      <c r="H166" s="293"/>
    </row>
    <row r="167" spans="5:8">
      <c r="E167" s="263" t="str">
        <f>IF(OR(G167="",H167=""),"",ACOS((SIN(RADIANS(G167)) * SIN(RADIANS('Hydrologie-Méthode rationnelle'!$C$22))) + (COS(RADIANS(G167)) * COS(RADIANS('Hydrologie-Méthode rationnelle'!$C$22))) * (COS(RADIANS(H167) - RADIANS('Hydrologie-Méthode rationnelle'!$C$23)))) * 6371)</f>
        <v/>
      </c>
      <c r="G167" s="293"/>
      <c r="H167" s="293"/>
    </row>
    <row r="168" spans="5:8">
      <c r="E168" s="263" t="str">
        <f>IF(OR(G168="",H168=""),"",ACOS((SIN(RADIANS(G168)) * SIN(RADIANS('Hydrologie-Méthode rationnelle'!$C$22))) + (COS(RADIANS(G168)) * COS(RADIANS('Hydrologie-Méthode rationnelle'!$C$22))) * (COS(RADIANS(H168) - RADIANS('Hydrologie-Méthode rationnelle'!$C$23)))) * 6371)</f>
        <v/>
      </c>
      <c r="G168" s="293"/>
      <c r="H168" s="293"/>
    </row>
    <row r="169" spans="5:8">
      <c r="E169" s="263" t="str">
        <f>IF(OR(G169="",H169=""),"",ACOS((SIN(RADIANS(G169)) * SIN(RADIANS('Hydrologie-Méthode rationnelle'!$C$22))) + (COS(RADIANS(G169)) * COS(RADIANS('Hydrologie-Méthode rationnelle'!$C$22))) * (COS(RADIANS(H169) - RADIANS('Hydrologie-Méthode rationnelle'!$C$23)))) * 6371)</f>
        <v/>
      </c>
      <c r="G169" s="293"/>
      <c r="H169" s="293"/>
    </row>
    <row r="170" spans="5:8">
      <c r="E170" s="263" t="str">
        <f>IF(OR(G170="",H170=""),"",ACOS((SIN(RADIANS(G170)) * SIN(RADIANS('Hydrologie-Méthode rationnelle'!$C$22))) + (COS(RADIANS(G170)) * COS(RADIANS('Hydrologie-Méthode rationnelle'!$C$22))) * (COS(RADIANS(H170) - RADIANS('Hydrologie-Méthode rationnelle'!$C$23)))) * 6371)</f>
        <v/>
      </c>
      <c r="G170" s="293"/>
      <c r="H170" s="293"/>
    </row>
    <row r="171" spans="5:8">
      <c r="E171" s="263" t="str">
        <f>IF(OR(G171="",H171=""),"",ACOS((SIN(RADIANS(G171)) * SIN(RADIANS('Hydrologie-Méthode rationnelle'!$C$22))) + (COS(RADIANS(G171)) * COS(RADIANS('Hydrologie-Méthode rationnelle'!$C$22))) * (COS(RADIANS(H171) - RADIANS('Hydrologie-Méthode rationnelle'!$C$23)))) * 6371)</f>
        <v/>
      </c>
      <c r="G171" s="293"/>
      <c r="H171" s="293"/>
    </row>
    <row r="172" spans="5:8">
      <c r="E172" s="263" t="str">
        <f>IF(OR(G172="",H172=""),"",ACOS((SIN(RADIANS(G172)) * SIN(RADIANS('Hydrologie-Méthode rationnelle'!$C$22))) + (COS(RADIANS(G172)) * COS(RADIANS('Hydrologie-Méthode rationnelle'!$C$22))) * (COS(RADIANS(H172) - RADIANS('Hydrologie-Méthode rationnelle'!$C$23)))) * 6371)</f>
        <v/>
      </c>
      <c r="G172" s="293"/>
      <c r="H172" s="293"/>
    </row>
    <row r="173" spans="5:8">
      <c r="E173" s="263" t="str">
        <f>IF(OR(G173="",H173=""),"",ACOS((SIN(RADIANS(G173)) * SIN(RADIANS('Hydrologie-Méthode rationnelle'!$C$22))) + (COS(RADIANS(G173)) * COS(RADIANS('Hydrologie-Méthode rationnelle'!$C$22))) * (COS(RADIANS(H173) - RADIANS('Hydrologie-Méthode rationnelle'!$C$23)))) * 6371)</f>
        <v/>
      </c>
      <c r="G173" s="293"/>
      <c r="H173" s="293"/>
    </row>
    <row r="174" spans="5:8">
      <c r="E174" s="263" t="str">
        <f>IF(OR(G174="",H174=""),"",ACOS((SIN(RADIANS(G174)) * SIN(RADIANS('Hydrologie-Méthode rationnelle'!$C$22))) + (COS(RADIANS(G174)) * COS(RADIANS('Hydrologie-Méthode rationnelle'!$C$22))) * (COS(RADIANS(H174) - RADIANS('Hydrologie-Méthode rationnelle'!$C$23)))) * 6371)</f>
        <v/>
      </c>
      <c r="G174" s="293"/>
      <c r="H174" s="293"/>
    </row>
    <row r="175" spans="5:8">
      <c r="E175" s="263" t="str">
        <f>IF(OR(G175="",H175=""),"",ACOS((SIN(RADIANS(G175)) * SIN(RADIANS('Hydrologie-Méthode rationnelle'!$C$22))) + (COS(RADIANS(G175)) * COS(RADIANS('Hydrologie-Méthode rationnelle'!$C$22))) * (COS(RADIANS(H175) - RADIANS('Hydrologie-Méthode rationnelle'!$C$23)))) * 6371)</f>
        <v/>
      </c>
      <c r="G175" s="293"/>
      <c r="H175" s="293"/>
    </row>
    <row r="176" spans="5:8">
      <c r="E176" s="263" t="str">
        <f>IF(OR(G176="",H176=""),"",ACOS((SIN(RADIANS(G176)) * SIN(RADIANS('Hydrologie-Méthode rationnelle'!$C$22))) + (COS(RADIANS(G176)) * COS(RADIANS('Hydrologie-Méthode rationnelle'!$C$22))) * (COS(RADIANS(H176) - RADIANS('Hydrologie-Méthode rationnelle'!$C$23)))) * 6371)</f>
        <v/>
      </c>
      <c r="G176" s="293"/>
      <c r="H176" s="293"/>
    </row>
    <row r="177" spans="5:8">
      <c r="E177" s="263" t="str">
        <f>IF(OR(G177="",H177=""),"",ACOS((SIN(RADIANS(G177)) * SIN(RADIANS('Hydrologie-Méthode rationnelle'!$C$22))) + (COS(RADIANS(G177)) * COS(RADIANS('Hydrologie-Méthode rationnelle'!$C$22))) * (COS(RADIANS(H177) - RADIANS('Hydrologie-Méthode rationnelle'!$C$23)))) * 6371)</f>
        <v/>
      </c>
      <c r="G177" s="293"/>
      <c r="H177" s="293"/>
    </row>
    <row r="178" spans="5:8">
      <c r="E178" s="263" t="str">
        <f>IF(OR(G178="",H178=""),"",ACOS((SIN(RADIANS(G178)) * SIN(RADIANS('Hydrologie-Méthode rationnelle'!$C$22))) + (COS(RADIANS(G178)) * COS(RADIANS('Hydrologie-Méthode rationnelle'!$C$22))) * (COS(RADIANS(H178) - RADIANS('Hydrologie-Méthode rationnelle'!$C$23)))) * 6371)</f>
        <v/>
      </c>
      <c r="G178" s="293"/>
      <c r="H178" s="293"/>
    </row>
    <row r="179" spans="5:8">
      <c r="E179" s="263" t="str">
        <f>IF(OR(G179="",H179=""),"",ACOS((SIN(RADIANS(G179)) * SIN(RADIANS('Hydrologie-Méthode rationnelle'!$C$22))) + (COS(RADIANS(G179)) * COS(RADIANS('Hydrologie-Méthode rationnelle'!$C$22))) * (COS(RADIANS(H179) - RADIANS('Hydrologie-Méthode rationnelle'!$C$23)))) * 6371)</f>
        <v/>
      </c>
      <c r="G179" s="293"/>
      <c r="H179" s="293"/>
    </row>
    <row r="180" spans="5:8">
      <c r="E180" s="263" t="str">
        <f>IF(OR(G180="",H180=""),"",ACOS((SIN(RADIANS(G180)) * SIN(RADIANS('Hydrologie-Méthode rationnelle'!$C$22))) + (COS(RADIANS(G180)) * COS(RADIANS('Hydrologie-Méthode rationnelle'!$C$22))) * (COS(RADIANS(H180) - RADIANS('Hydrologie-Méthode rationnelle'!$C$23)))) * 6371)</f>
        <v/>
      </c>
      <c r="G180" s="293"/>
      <c r="H180" s="293"/>
    </row>
    <row r="181" spans="5:8">
      <c r="E181" s="263" t="str">
        <f>IF(OR(G181="",H181=""),"",ACOS((SIN(RADIANS(G181)) * SIN(RADIANS('Hydrologie-Méthode rationnelle'!$C$22))) + (COS(RADIANS(G181)) * COS(RADIANS('Hydrologie-Méthode rationnelle'!$C$22))) * (COS(RADIANS(H181) - RADIANS('Hydrologie-Méthode rationnelle'!$C$23)))) * 6371)</f>
        <v/>
      </c>
      <c r="G181" s="293"/>
      <c r="H181" s="293"/>
    </row>
    <row r="182" spans="5:8">
      <c r="E182" s="263" t="str">
        <f>IF(OR(G182="",H182=""),"",ACOS((SIN(RADIANS(G182)) * SIN(RADIANS('Hydrologie-Méthode rationnelle'!$C$22))) + (COS(RADIANS(G182)) * COS(RADIANS('Hydrologie-Méthode rationnelle'!$C$22))) * (COS(RADIANS(H182) - RADIANS('Hydrologie-Méthode rationnelle'!$C$23)))) * 6371)</f>
        <v/>
      </c>
      <c r="G182" s="293"/>
      <c r="H182" s="293"/>
    </row>
    <row r="183" spans="5:8">
      <c r="E183" s="263" t="str">
        <f>IF(OR(G183="",H183=""),"",ACOS((SIN(RADIANS(G183)) * SIN(RADIANS('Hydrologie-Méthode rationnelle'!$C$22))) + (COS(RADIANS(G183)) * COS(RADIANS('Hydrologie-Méthode rationnelle'!$C$22))) * (COS(RADIANS(H183) - RADIANS('Hydrologie-Méthode rationnelle'!$C$23)))) * 6371)</f>
        <v/>
      </c>
      <c r="G183" s="293"/>
      <c r="H183" s="293"/>
    </row>
    <row r="184" spans="5:8">
      <c r="E184" s="263" t="str">
        <f>IF(OR(G184="",H184=""),"",ACOS((SIN(RADIANS(G184)) * SIN(RADIANS('Hydrologie-Méthode rationnelle'!$C$22))) + (COS(RADIANS(G184)) * COS(RADIANS('Hydrologie-Méthode rationnelle'!$C$22))) * (COS(RADIANS(H184) - RADIANS('Hydrologie-Méthode rationnelle'!$C$23)))) * 6371)</f>
        <v/>
      </c>
      <c r="G184" s="293"/>
      <c r="H184" s="293"/>
    </row>
    <row r="185" spans="5:8">
      <c r="E185" s="263" t="str">
        <f>IF(OR(G185="",H185=""),"",ACOS((SIN(RADIANS(G185)) * SIN(RADIANS('Hydrologie-Méthode rationnelle'!$C$22))) + (COS(RADIANS(G185)) * COS(RADIANS('Hydrologie-Méthode rationnelle'!$C$22))) * (COS(RADIANS(H185) - RADIANS('Hydrologie-Méthode rationnelle'!$C$23)))) * 6371)</f>
        <v/>
      </c>
      <c r="G185" s="293"/>
      <c r="H185" s="293"/>
    </row>
    <row r="186" spans="5:8">
      <c r="E186" s="263" t="str">
        <f>IF(OR(G186="",H186=""),"",ACOS((SIN(RADIANS(G186)) * SIN(RADIANS('Hydrologie-Méthode rationnelle'!$C$22))) + (COS(RADIANS(G186)) * COS(RADIANS('Hydrologie-Méthode rationnelle'!$C$22))) * (COS(RADIANS(H186) - RADIANS('Hydrologie-Méthode rationnelle'!$C$23)))) * 6371)</f>
        <v/>
      </c>
      <c r="G186" s="293"/>
      <c r="H186" s="293"/>
    </row>
    <row r="187" spans="5:8">
      <c r="E187" s="263" t="str">
        <f>IF(OR(G187="",H187=""),"",ACOS((SIN(RADIANS(G187)) * SIN(RADIANS('Hydrologie-Méthode rationnelle'!$C$22))) + (COS(RADIANS(G187)) * COS(RADIANS('Hydrologie-Méthode rationnelle'!$C$22))) * (COS(RADIANS(H187) - RADIANS('Hydrologie-Méthode rationnelle'!$C$23)))) * 6371)</f>
        <v/>
      </c>
      <c r="G187" s="293"/>
      <c r="H187" s="293"/>
    </row>
    <row r="188" spans="5:8">
      <c r="E188" s="263" t="str">
        <f>IF(OR(G188="",H188=""),"",ACOS((SIN(RADIANS(G188)) * SIN(RADIANS('Hydrologie-Méthode rationnelle'!$C$22))) + (COS(RADIANS(G188)) * COS(RADIANS('Hydrologie-Méthode rationnelle'!$C$22))) * (COS(RADIANS(H188) - RADIANS('Hydrologie-Méthode rationnelle'!$C$23)))) * 6371)</f>
        <v/>
      </c>
      <c r="G188" s="293"/>
      <c r="H188" s="293"/>
    </row>
    <row r="189" spans="5:8">
      <c r="E189" s="263" t="str">
        <f>IF(OR(G189="",H189=""),"",ACOS((SIN(RADIANS(G189)) * SIN(RADIANS('Hydrologie-Méthode rationnelle'!$C$22))) + (COS(RADIANS(G189)) * COS(RADIANS('Hydrologie-Méthode rationnelle'!$C$22))) * (COS(RADIANS(H189) - RADIANS('Hydrologie-Méthode rationnelle'!$C$23)))) * 6371)</f>
        <v/>
      </c>
      <c r="G189" s="293"/>
      <c r="H189" s="293"/>
    </row>
    <row r="190" spans="5:8">
      <c r="E190" s="263" t="str">
        <f>IF(OR(G190="",H190=""),"",ACOS((SIN(RADIANS(G190)) * SIN(RADIANS('Hydrologie-Méthode rationnelle'!$C$22))) + (COS(RADIANS(G190)) * COS(RADIANS('Hydrologie-Méthode rationnelle'!$C$22))) * (COS(RADIANS(H190) - RADIANS('Hydrologie-Méthode rationnelle'!$C$23)))) * 6371)</f>
        <v/>
      </c>
      <c r="G190" s="293"/>
      <c r="H190" s="293"/>
    </row>
    <row r="191" spans="5:8">
      <c r="E191" s="263" t="str">
        <f>IF(OR(G191="",H191=""),"",ACOS((SIN(RADIANS(G191)) * SIN(RADIANS('Hydrologie-Méthode rationnelle'!$C$22))) + (COS(RADIANS(G191)) * COS(RADIANS('Hydrologie-Méthode rationnelle'!$C$22))) * (COS(RADIANS(H191) - RADIANS('Hydrologie-Méthode rationnelle'!$C$23)))) * 6371)</f>
        <v/>
      </c>
      <c r="G191" s="293"/>
      <c r="H191" s="293"/>
    </row>
    <row r="192" spans="5:8">
      <c r="E192" s="263" t="str">
        <f>IF(OR(G192="",H192=""),"",ACOS((SIN(RADIANS(G192)) * SIN(RADIANS('Hydrologie-Méthode rationnelle'!$C$22))) + (COS(RADIANS(G192)) * COS(RADIANS('Hydrologie-Méthode rationnelle'!$C$22))) * (COS(RADIANS(H192) - RADIANS('Hydrologie-Méthode rationnelle'!$C$23)))) * 6371)</f>
        <v/>
      </c>
      <c r="G192" s="293"/>
      <c r="H192" s="293"/>
    </row>
    <row r="193" spans="5:8">
      <c r="E193" s="263" t="str">
        <f>IF(OR(G193="",H193=""),"",ACOS((SIN(RADIANS(G193)) * SIN(RADIANS('Hydrologie-Méthode rationnelle'!$C$22))) + (COS(RADIANS(G193)) * COS(RADIANS('Hydrologie-Méthode rationnelle'!$C$22))) * (COS(RADIANS(H193) - RADIANS('Hydrologie-Méthode rationnelle'!$C$23)))) * 6371)</f>
        <v/>
      </c>
      <c r="G193" s="293"/>
      <c r="H193" s="293"/>
    </row>
    <row r="194" spans="5:8">
      <c r="E194" s="263" t="str">
        <f>IF(OR(G194="",H194=""),"",ACOS((SIN(RADIANS(G194)) * SIN(RADIANS('Hydrologie-Méthode rationnelle'!$C$22))) + (COS(RADIANS(G194)) * COS(RADIANS('Hydrologie-Méthode rationnelle'!$C$22))) * (COS(RADIANS(H194) - RADIANS('Hydrologie-Méthode rationnelle'!$C$23)))) * 6371)</f>
        <v/>
      </c>
      <c r="G194" s="293"/>
      <c r="H194" s="293"/>
    </row>
    <row r="195" spans="5:8">
      <c r="E195" s="263" t="str">
        <f>IF(OR(G195="",H195=""),"",ACOS((SIN(RADIANS(G195)) * SIN(RADIANS('Hydrologie-Méthode rationnelle'!$C$22))) + (COS(RADIANS(G195)) * COS(RADIANS('Hydrologie-Méthode rationnelle'!$C$22))) * (COS(RADIANS(H195) - RADIANS('Hydrologie-Méthode rationnelle'!$C$23)))) * 6371)</f>
        <v/>
      </c>
      <c r="G195" s="293"/>
      <c r="H195" s="293"/>
    </row>
    <row r="196" spans="5:8">
      <c r="E196" s="263" t="str">
        <f>IF(OR(G196="",H196=""),"",ACOS((SIN(RADIANS(G196)) * SIN(RADIANS('Hydrologie-Méthode rationnelle'!$C$22))) + (COS(RADIANS(G196)) * COS(RADIANS('Hydrologie-Méthode rationnelle'!$C$22))) * (COS(RADIANS(H196) - RADIANS('Hydrologie-Méthode rationnelle'!$C$23)))) * 6371)</f>
        <v/>
      </c>
      <c r="G196" s="293"/>
      <c r="H196" s="293"/>
    </row>
    <row r="197" spans="5:8">
      <c r="E197" s="263" t="str">
        <f>IF(OR(G197="",H197=""),"",ACOS((SIN(RADIANS(G197)) * SIN(RADIANS('Hydrologie-Méthode rationnelle'!$C$22))) + (COS(RADIANS(G197)) * COS(RADIANS('Hydrologie-Méthode rationnelle'!$C$22))) * (COS(RADIANS(H197) - RADIANS('Hydrologie-Méthode rationnelle'!$C$23)))) * 6371)</f>
        <v/>
      </c>
      <c r="G197" s="293"/>
      <c r="H197" s="293"/>
    </row>
    <row r="198" spans="5:8">
      <c r="E198" s="263" t="str">
        <f>IF(OR(G198="",H198=""),"",ACOS((SIN(RADIANS(G198)) * SIN(RADIANS('Hydrologie-Méthode rationnelle'!$C$22))) + (COS(RADIANS(G198)) * COS(RADIANS('Hydrologie-Méthode rationnelle'!$C$22))) * (COS(RADIANS(H198) - RADIANS('Hydrologie-Méthode rationnelle'!$C$23)))) * 6371)</f>
        <v/>
      </c>
      <c r="G198" s="293"/>
      <c r="H198" s="293"/>
    </row>
    <row r="199" spans="5:8">
      <c r="E199" s="263" t="str">
        <f>IF(OR(G199="",H199=""),"",ACOS((SIN(RADIANS(G199)) * SIN(RADIANS('Hydrologie-Méthode rationnelle'!$C$22))) + (COS(RADIANS(G199)) * COS(RADIANS('Hydrologie-Méthode rationnelle'!$C$22))) * (COS(RADIANS(H199) - RADIANS('Hydrologie-Méthode rationnelle'!$C$23)))) * 6371)</f>
        <v/>
      </c>
      <c r="G199" s="293"/>
      <c r="H199" s="293"/>
    </row>
    <row r="200" spans="5:8">
      <c r="E200" s="263" t="str">
        <f>IF(OR(G200="",H200=""),"",ACOS((SIN(RADIANS(G200)) * SIN(RADIANS('Hydrologie-Méthode rationnelle'!$C$22))) + (COS(RADIANS(G200)) * COS(RADIANS('Hydrologie-Méthode rationnelle'!$C$22))) * (COS(RADIANS(H200) - RADIANS('Hydrologie-Méthode rationnelle'!$C$23)))) * 6371)</f>
        <v/>
      </c>
      <c r="G200" s="293"/>
      <c r="H200" s="293"/>
    </row>
    <row r="201" spans="5:8">
      <c r="E201" s="263" t="str">
        <f>IF(OR(G201="",H201=""),"",ACOS((SIN(RADIANS(G201)) * SIN(RADIANS('Hydrologie-Méthode rationnelle'!$C$22))) + (COS(RADIANS(G201)) * COS(RADIANS('Hydrologie-Méthode rationnelle'!$C$22))) * (COS(RADIANS(H201) - RADIANS('Hydrologie-Méthode rationnelle'!$C$23)))) * 6371)</f>
        <v/>
      </c>
      <c r="G201" s="293"/>
      <c r="H201" s="293"/>
    </row>
    <row r="202" spans="5:8">
      <c r="E202" s="263" t="str">
        <f>IF(OR(G202="",H202=""),"",ACOS((SIN(RADIANS(G202)) * SIN(RADIANS('Hydrologie-Méthode rationnelle'!$C$22))) + (COS(RADIANS(G202)) * COS(RADIANS('Hydrologie-Méthode rationnelle'!$C$22))) * (COS(RADIANS(H202) - RADIANS('Hydrologie-Méthode rationnelle'!$C$23)))) * 6371)</f>
        <v/>
      </c>
      <c r="G202" s="293"/>
      <c r="H202" s="293"/>
    </row>
    <row r="203" spans="5:8">
      <c r="E203" s="263" t="str">
        <f>IF(OR(G203="",H203=""),"",ACOS((SIN(RADIANS(G203)) * SIN(RADIANS('Hydrologie-Méthode rationnelle'!$C$22))) + (COS(RADIANS(G203)) * COS(RADIANS('Hydrologie-Méthode rationnelle'!$C$22))) * (COS(RADIANS(H203) - RADIANS('Hydrologie-Méthode rationnelle'!$C$23)))) * 6371)</f>
        <v/>
      </c>
      <c r="G203" s="293"/>
      <c r="H203" s="293"/>
    </row>
    <row r="204" spans="5:8">
      <c r="E204" s="263" t="str">
        <f>IF(OR(G204="",H204=""),"",ACOS((SIN(RADIANS(G204)) * SIN(RADIANS('Hydrologie-Méthode rationnelle'!$C$22))) + (COS(RADIANS(G204)) * COS(RADIANS('Hydrologie-Méthode rationnelle'!$C$22))) * (COS(RADIANS(H204) - RADIANS('Hydrologie-Méthode rationnelle'!$C$23)))) * 6371)</f>
        <v/>
      </c>
      <c r="G204" s="293"/>
      <c r="H204" s="293"/>
    </row>
    <row r="205" spans="5:8">
      <c r="E205" s="263" t="str">
        <f>IF(OR(G205="",H205=""),"",ACOS((SIN(RADIANS(G205)) * SIN(RADIANS('Hydrologie-Méthode rationnelle'!$C$22))) + (COS(RADIANS(G205)) * COS(RADIANS('Hydrologie-Méthode rationnelle'!$C$22))) * (COS(RADIANS(H205) - RADIANS('Hydrologie-Méthode rationnelle'!$C$23)))) * 6371)</f>
        <v/>
      </c>
      <c r="G205" s="293"/>
      <c r="H205" s="293"/>
    </row>
    <row r="206" spans="5:8">
      <c r="E206" s="263" t="str">
        <f>IF(OR(G206="",H206=""),"",ACOS((SIN(RADIANS(G206)) * SIN(RADIANS('Hydrologie-Méthode rationnelle'!$C$22))) + (COS(RADIANS(G206)) * COS(RADIANS('Hydrologie-Méthode rationnelle'!$C$22))) * (COS(RADIANS(H206) - RADIANS('Hydrologie-Méthode rationnelle'!$C$23)))) * 6371)</f>
        <v/>
      </c>
      <c r="G206" s="293"/>
      <c r="H206" s="293"/>
    </row>
    <row r="207" spans="5:8">
      <c r="E207" s="263" t="str">
        <f>IF(OR(G207="",H207=""),"",ACOS((SIN(RADIANS(G207)) * SIN(RADIANS('Hydrologie-Méthode rationnelle'!$C$22))) + (COS(RADIANS(G207)) * COS(RADIANS('Hydrologie-Méthode rationnelle'!$C$22))) * (COS(RADIANS(H207) - RADIANS('Hydrologie-Méthode rationnelle'!$C$23)))) * 6371)</f>
        <v/>
      </c>
      <c r="G207" s="293"/>
      <c r="H207" s="293"/>
    </row>
    <row r="208" spans="5:8">
      <c r="E208" s="263" t="str">
        <f>IF(OR(G208="",H208=""),"",ACOS((SIN(RADIANS(G208)) * SIN(RADIANS('Hydrologie-Méthode rationnelle'!$C$22))) + (COS(RADIANS(G208)) * COS(RADIANS('Hydrologie-Méthode rationnelle'!$C$22))) * (COS(RADIANS(H208) - RADIANS('Hydrologie-Méthode rationnelle'!$C$23)))) * 6371)</f>
        <v/>
      </c>
      <c r="G208" s="293"/>
      <c r="H208" s="293"/>
    </row>
    <row r="209" spans="5:8">
      <c r="E209" s="263" t="str">
        <f>IF(OR(G209="",H209=""),"",ACOS((SIN(RADIANS(G209)) * SIN(RADIANS('Hydrologie-Méthode rationnelle'!$C$22))) + (COS(RADIANS(G209)) * COS(RADIANS('Hydrologie-Méthode rationnelle'!$C$22))) * (COS(RADIANS(H209) - RADIANS('Hydrologie-Méthode rationnelle'!$C$23)))) * 6371)</f>
        <v/>
      </c>
      <c r="G209" s="293"/>
      <c r="H209" s="293"/>
    </row>
    <row r="210" spans="5:8">
      <c r="E210" s="263" t="str">
        <f>IF(OR(G210="",H210=""),"",ACOS((SIN(RADIANS(G210)) * SIN(RADIANS('Hydrologie-Méthode rationnelle'!$C$22))) + (COS(RADIANS(G210)) * COS(RADIANS('Hydrologie-Méthode rationnelle'!$C$22))) * (COS(RADIANS(H210) - RADIANS('Hydrologie-Méthode rationnelle'!$C$23)))) * 6371)</f>
        <v/>
      </c>
      <c r="G210" s="293"/>
      <c r="H210" s="293"/>
    </row>
    <row r="211" spans="5:8">
      <c r="E211" s="263" t="str">
        <f>IF(OR(G211="",H211=""),"",ACOS((SIN(RADIANS(G211)) * SIN(RADIANS('Hydrologie-Méthode rationnelle'!$C$22))) + (COS(RADIANS(G211)) * COS(RADIANS('Hydrologie-Méthode rationnelle'!$C$22))) * (COS(RADIANS(H211) - RADIANS('Hydrologie-Méthode rationnelle'!$C$23)))) * 6371)</f>
        <v/>
      </c>
      <c r="G211" s="293"/>
      <c r="H211" s="293"/>
    </row>
    <row r="212" spans="5:8">
      <c r="E212" s="263" t="str">
        <f>IF(OR(G212="",H212=""),"",ACOS((SIN(RADIANS(G212)) * SIN(RADIANS('Hydrologie-Méthode rationnelle'!$C$22))) + (COS(RADIANS(G212)) * COS(RADIANS('Hydrologie-Méthode rationnelle'!$C$22))) * (COS(RADIANS(H212) - RADIANS('Hydrologie-Méthode rationnelle'!$C$23)))) * 6371)</f>
        <v/>
      </c>
      <c r="G212" s="293"/>
      <c r="H212" s="293"/>
    </row>
    <row r="213" spans="5:8">
      <c r="E213" s="263" t="str">
        <f>IF(OR(G213="",H213=""),"",ACOS((SIN(RADIANS(G213)) * SIN(RADIANS('Hydrologie-Méthode rationnelle'!$C$22))) + (COS(RADIANS(G213)) * COS(RADIANS('Hydrologie-Méthode rationnelle'!$C$22))) * (COS(RADIANS(H213) - RADIANS('Hydrologie-Méthode rationnelle'!$C$23)))) * 6371)</f>
        <v/>
      </c>
      <c r="G213" s="293"/>
      <c r="H213" s="293"/>
    </row>
    <row r="214" spans="5:8">
      <c r="E214" s="263" t="str">
        <f>IF(OR(G214="",H214=""),"",ACOS((SIN(RADIANS(G214)) * SIN(RADIANS('Hydrologie-Méthode rationnelle'!$C$22))) + (COS(RADIANS(G214)) * COS(RADIANS('Hydrologie-Méthode rationnelle'!$C$22))) * (COS(RADIANS(H214) - RADIANS('Hydrologie-Méthode rationnelle'!$C$23)))) * 6371)</f>
        <v/>
      </c>
      <c r="G214" s="293"/>
      <c r="H214" s="293"/>
    </row>
    <row r="215" spans="5:8">
      <c r="E215" s="263" t="str">
        <f>IF(OR(G215="",H215=""),"",ACOS((SIN(RADIANS(G215)) * SIN(RADIANS('Hydrologie-Méthode rationnelle'!$C$22))) + (COS(RADIANS(G215)) * COS(RADIANS('Hydrologie-Méthode rationnelle'!$C$22))) * (COS(RADIANS(H215) - RADIANS('Hydrologie-Méthode rationnelle'!$C$23)))) * 6371)</f>
        <v/>
      </c>
      <c r="G215" s="293"/>
      <c r="H215" s="293"/>
    </row>
    <row r="216" spans="5:8">
      <c r="E216" s="263" t="str">
        <f>IF(OR(G216="",H216=""),"",ACOS((SIN(RADIANS(G216)) * SIN(RADIANS('Hydrologie-Méthode rationnelle'!$C$22))) + (COS(RADIANS(G216)) * COS(RADIANS('Hydrologie-Méthode rationnelle'!$C$22))) * (COS(RADIANS(H216) - RADIANS('Hydrologie-Méthode rationnelle'!$C$23)))) * 6371)</f>
        <v/>
      </c>
      <c r="G216" s="293"/>
      <c r="H216" s="293"/>
    </row>
    <row r="217" spans="5:8">
      <c r="E217" s="263" t="str">
        <f>IF(OR(G217="",H217=""),"",ACOS((SIN(RADIANS(G217)) * SIN(RADIANS('Hydrologie-Méthode rationnelle'!$C$22))) + (COS(RADIANS(G217)) * COS(RADIANS('Hydrologie-Méthode rationnelle'!$C$22))) * (COS(RADIANS(H217) - RADIANS('Hydrologie-Méthode rationnelle'!$C$23)))) * 6371)</f>
        <v/>
      </c>
      <c r="G217" s="293"/>
      <c r="H217" s="293"/>
    </row>
    <row r="218" spans="5:8">
      <c r="E218" s="263" t="str">
        <f>IF(OR(G218="",H218=""),"",ACOS((SIN(RADIANS(G218)) * SIN(RADIANS('Hydrologie-Méthode rationnelle'!$C$22))) + (COS(RADIANS(G218)) * COS(RADIANS('Hydrologie-Méthode rationnelle'!$C$22))) * (COS(RADIANS(H218) - RADIANS('Hydrologie-Méthode rationnelle'!$C$23)))) * 6371)</f>
        <v/>
      </c>
      <c r="G218" s="293"/>
      <c r="H218" s="293"/>
    </row>
    <row r="219" spans="5:8">
      <c r="E219" s="263" t="str">
        <f>IF(OR(G219="",H219=""),"",ACOS((SIN(RADIANS(G219)) * SIN(RADIANS('Hydrologie-Méthode rationnelle'!$C$22))) + (COS(RADIANS(G219)) * COS(RADIANS('Hydrologie-Méthode rationnelle'!$C$22))) * (COS(RADIANS(H219) - RADIANS('Hydrologie-Méthode rationnelle'!$C$23)))) * 6371)</f>
        <v/>
      </c>
      <c r="G219" s="293"/>
      <c r="H219" s="293"/>
    </row>
    <row r="220" spans="5:8">
      <c r="E220" s="263" t="str">
        <f>IF(OR(G220="",H220=""),"",ACOS((SIN(RADIANS(G220)) * SIN(RADIANS('Hydrologie-Méthode rationnelle'!$C$22))) + (COS(RADIANS(G220)) * COS(RADIANS('Hydrologie-Méthode rationnelle'!$C$22))) * (COS(RADIANS(H220) - RADIANS('Hydrologie-Méthode rationnelle'!$C$23)))) * 6371)</f>
        <v/>
      </c>
      <c r="G220" s="293"/>
      <c r="H220" s="293"/>
    </row>
    <row r="221" spans="5:8">
      <c r="E221" s="263" t="str">
        <f>IF(OR(G221="",H221=""),"",ACOS((SIN(RADIANS(G221)) * SIN(RADIANS('Hydrologie-Méthode rationnelle'!$C$22))) + (COS(RADIANS(G221)) * COS(RADIANS('Hydrologie-Méthode rationnelle'!$C$22))) * (COS(RADIANS(H221) - RADIANS('Hydrologie-Méthode rationnelle'!$C$23)))) * 6371)</f>
        <v/>
      </c>
      <c r="G221" s="293"/>
      <c r="H221" s="293"/>
    </row>
    <row r="222" spans="5:8">
      <c r="E222" s="263" t="str">
        <f>IF(OR(G222="",H222=""),"",ACOS((SIN(RADIANS(G222)) * SIN(RADIANS('Hydrologie-Méthode rationnelle'!$C$22))) + (COS(RADIANS(G222)) * COS(RADIANS('Hydrologie-Méthode rationnelle'!$C$22))) * (COS(RADIANS(H222) - RADIANS('Hydrologie-Méthode rationnelle'!$C$23)))) * 6371)</f>
        <v/>
      </c>
      <c r="G222" s="293"/>
      <c r="H222" s="293"/>
    </row>
    <row r="223" spans="5:8">
      <c r="E223" s="263" t="str">
        <f>IF(OR(G223="",H223=""),"",ACOS((SIN(RADIANS(G223)) * SIN(RADIANS('Hydrologie-Méthode rationnelle'!$C$22))) + (COS(RADIANS(G223)) * COS(RADIANS('Hydrologie-Méthode rationnelle'!$C$22))) * (COS(RADIANS(H223) - RADIANS('Hydrologie-Méthode rationnelle'!$C$23)))) * 6371)</f>
        <v/>
      </c>
      <c r="G223" s="293"/>
      <c r="H223" s="293"/>
    </row>
    <row r="224" spans="5:8">
      <c r="E224" s="263" t="str">
        <f>IF(OR(G224="",H224=""),"",ACOS((SIN(RADIANS(G224)) * SIN(RADIANS('Hydrologie-Méthode rationnelle'!$C$22))) + (COS(RADIANS(G224)) * COS(RADIANS('Hydrologie-Méthode rationnelle'!$C$22))) * (COS(RADIANS(H224) - RADIANS('Hydrologie-Méthode rationnelle'!$C$23)))) * 6371)</f>
        <v/>
      </c>
      <c r="G224" s="293"/>
      <c r="H224" s="293"/>
    </row>
    <row r="225" spans="5:8">
      <c r="E225" s="263" t="str">
        <f>IF(OR(G225="",H225=""),"",ACOS((SIN(RADIANS(G225)) * SIN(RADIANS('Hydrologie-Méthode rationnelle'!$C$22))) + (COS(RADIANS(G225)) * COS(RADIANS('Hydrologie-Méthode rationnelle'!$C$22))) * (COS(RADIANS(H225) - RADIANS('Hydrologie-Méthode rationnelle'!$C$23)))) * 6371)</f>
        <v/>
      </c>
      <c r="G225" s="293"/>
      <c r="H225" s="293"/>
    </row>
    <row r="226" spans="5:8">
      <c r="E226" s="263" t="str">
        <f>IF(OR(G226="",H226=""),"",ACOS((SIN(RADIANS(G226)) * SIN(RADIANS('Hydrologie-Méthode rationnelle'!$C$22))) + (COS(RADIANS(G226)) * COS(RADIANS('Hydrologie-Méthode rationnelle'!$C$22))) * (COS(RADIANS(H226) - RADIANS('Hydrologie-Méthode rationnelle'!$C$23)))) * 6371)</f>
        <v/>
      </c>
      <c r="G226" s="293"/>
      <c r="H226" s="293"/>
    </row>
    <row r="227" spans="5:8">
      <c r="E227" s="263" t="str">
        <f>IF(OR(G227="",H227=""),"",ACOS((SIN(RADIANS(G227)) * SIN(RADIANS('Hydrologie-Méthode rationnelle'!$C$22))) + (COS(RADIANS(G227)) * COS(RADIANS('Hydrologie-Méthode rationnelle'!$C$22))) * (COS(RADIANS(H227) - RADIANS('Hydrologie-Méthode rationnelle'!$C$23)))) * 6371)</f>
        <v/>
      </c>
      <c r="G227" s="293"/>
      <c r="H227" s="293"/>
    </row>
    <row r="228" spans="5:8">
      <c r="E228" s="263" t="str">
        <f>IF(OR(G228="",H228=""),"",ACOS((SIN(RADIANS(G228)) * SIN(RADIANS('Hydrologie-Méthode rationnelle'!$C$22))) + (COS(RADIANS(G228)) * COS(RADIANS('Hydrologie-Méthode rationnelle'!$C$22))) * (COS(RADIANS(H228) - RADIANS('Hydrologie-Méthode rationnelle'!$C$23)))) * 6371)</f>
        <v/>
      </c>
      <c r="G228" s="293"/>
      <c r="H228" s="293"/>
    </row>
    <row r="229" spans="5:8">
      <c r="E229" s="263" t="str">
        <f>IF(OR(G229="",H229=""),"",ACOS((SIN(RADIANS(G229)) * SIN(RADIANS('Hydrologie-Méthode rationnelle'!$C$22))) + (COS(RADIANS(G229)) * COS(RADIANS('Hydrologie-Méthode rationnelle'!$C$22))) * (COS(RADIANS(H229) - RADIANS('Hydrologie-Méthode rationnelle'!$C$23)))) * 6371)</f>
        <v/>
      </c>
      <c r="G229" s="293"/>
      <c r="H229" s="293"/>
    </row>
    <row r="230" spans="5:8">
      <c r="E230" s="263" t="str">
        <f>IF(OR(G230="",H230=""),"",ACOS((SIN(RADIANS(G230)) * SIN(RADIANS('Hydrologie-Méthode rationnelle'!$C$22))) + (COS(RADIANS(G230)) * COS(RADIANS('Hydrologie-Méthode rationnelle'!$C$22))) * (COS(RADIANS(H230) - RADIANS('Hydrologie-Méthode rationnelle'!$C$23)))) * 6371)</f>
        <v/>
      </c>
      <c r="G230" s="293"/>
      <c r="H230" s="293"/>
    </row>
    <row r="231" spans="5:8">
      <c r="E231" s="263" t="str">
        <f>IF(OR(G231="",H231=""),"",ACOS((SIN(RADIANS(G231)) * SIN(RADIANS('Hydrologie-Méthode rationnelle'!$C$22))) + (COS(RADIANS(G231)) * COS(RADIANS('Hydrologie-Méthode rationnelle'!$C$22))) * (COS(RADIANS(H231) - RADIANS('Hydrologie-Méthode rationnelle'!$C$23)))) * 6371)</f>
        <v/>
      </c>
      <c r="G231" s="293"/>
      <c r="H231" s="293"/>
    </row>
    <row r="232" spans="5:8">
      <c r="E232" s="263" t="str">
        <f>IF(OR(G232="",H232=""),"",ACOS((SIN(RADIANS(G232)) * SIN(RADIANS('Hydrologie-Méthode rationnelle'!$C$22))) + (COS(RADIANS(G232)) * COS(RADIANS('Hydrologie-Méthode rationnelle'!$C$22))) * (COS(RADIANS(H232) - RADIANS('Hydrologie-Méthode rationnelle'!$C$23)))) * 6371)</f>
        <v/>
      </c>
      <c r="G232" s="293"/>
      <c r="H232" s="293"/>
    </row>
    <row r="233" spans="5:8">
      <c r="E233" s="263" t="str">
        <f>IF(OR(G233="",H233=""),"",ACOS((SIN(RADIANS(G233)) * SIN(RADIANS('Hydrologie-Méthode rationnelle'!$C$22))) + (COS(RADIANS(G233)) * COS(RADIANS('Hydrologie-Méthode rationnelle'!$C$22))) * (COS(RADIANS(H233) - RADIANS('Hydrologie-Méthode rationnelle'!$C$23)))) * 6371)</f>
        <v/>
      </c>
      <c r="G233" s="293"/>
      <c r="H233" s="293"/>
    </row>
    <row r="234" spans="5:8">
      <c r="E234" s="263" t="str">
        <f>IF(OR(G234="",H234=""),"",ACOS((SIN(RADIANS(G234)) * SIN(RADIANS('Hydrologie-Méthode rationnelle'!$C$22))) + (COS(RADIANS(G234)) * COS(RADIANS('Hydrologie-Méthode rationnelle'!$C$22))) * (COS(RADIANS(H234) - RADIANS('Hydrologie-Méthode rationnelle'!$C$23)))) * 6371)</f>
        <v/>
      </c>
      <c r="G234" s="293"/>
      <c r="H234" s="293"/>
    </row>
    <row r="235" spans="5:8">
      <c r="E235" s="263" t="str">
        <f>IF(OR(G235="",H235=""),"",ACOS((SIN(RADIANS(G235)) * SIN(RADIANS('Hydrologie-Méthode rationnelle'!$C$22))) + (COS(RADIANS(G235)) * COS(RADIANS('Hydrologie-Méthode rationnelle'!$C$22))) * (COS(RADIANS(H235) - RADIANS('Hydrologie-Méthode rationnelle'!$C$23)))) * 6371)</f>
        <v/>
      </c>
      <c r="G235" s="293"/>
      <c r="H235" s="293"/>
    </row>
    <row r="236" spans="5:8">
      <c r="E236" s="263" t="str">
        <f>IF(OR(G236="",H236=""),"",ACOS((SIN(RADIANS(G236)) * SIN(RADIANS('Hydrologie-Méthode rationnelle'!$C$22))) + (COS(RADIANS(G236)) * COS(RADIANS('Hydrologie-Méthode rationnelle'!$C$22))) * (COS(RADIANS(H236) - RADIANS('Hydrologie-Méthode rationnelle'!$C$23)))) * 6371)</f>
        <v/>
      </c>
      <c r="G236" s="293"/>
      <c r="H236" s="293"/>
    </row>
    <row r="237" spans="5:8">
      <c r="E237" s="263" t="str">
        <f>IF(OR(G237="",H237=""),"",ACOS((SIN(RADIANS(G237)) * SIN(RADIANS('Hydrologie-Méthode rationnelle'!$C$22))) + (COS(RADIANS(G237)) * COS(RADIANS('Hydrologie-Méthode rationnelle'!$C$22))) * (COS(RADIANS(H237) - RADIANS('Hydrologie-Méthode rationnelle'!$C$23)))) * 6371)</f>
        <v/>
      </c>
      <c r="G237" s="293"/>
      <c r="H237" s="293"/>
    </row>
    <row r="238" spans="5:8">
      <c r="E238" s="263" t="str">
        <f>IF(OR(G238="",H238=""),"",ACOS((SIN(RADIANS(G238)) * SIN(RADIANS('Hydrologie-Méthode rationnelle'!$C$22))) + (COS(RADIANS(G238)) * COS(RADIANS('Hydrologie-Méthode rationnelle'!$C$22))) * (COS(RADIANS(H238) - RADIANS('Hydrologie-Méthode rationnelle'!$C$23)))) * 6371)</f>
        <v/>
      </c>
      <c r="G238" s="293"/>
      <c r="H238" s="293"/>
    </row>
    <row r="239" spans="5:8">
      <c r="E239" s="263" t="str">
        <f>IF(OR(G239="",H239=""),"",ACOS((SIN(RADIANS(G239)) * SIN(RADIANS('Hydrologie-Méthode rationnelle'!$C$22))) + (COS(RADIANS(G239)) * COS(RADIANS('Hydrologie-Méthode rationnelle'!$C$22))) * (COS(RADIANS(H239) - RADIANS('Hydrologie-Méthode rationnelle'!$C$23)))) * 6371)</f>
        <v/>
      </c>
      <c r="G239" s="293"/>
      <c r="H239" s="293"/>
    </row>
    <row r="240" spans="5:8">
      <c r="E240" s="263" t="str">
        <f>IF(OR(G240="",H240=""),"",ACOS((SIN(RADIANS(G240)) * SIN(RADIANS('Hydrologie-Méthode rationnelle'!$C$22))) + (COS(RADIANS(G240)) * COS(RADIANS('Hydrologie-Méthode rationnelle'!$C$22))) * (COS(RADIANS(H240) - RADIANS('Hydrologie-Méthode rationnelle'!$C$23)))) * 6371)</f>
        <v/>
      </c>
      <c r="G240" s="293"/>
      <c r="H240" s="293"/>
    </row>
    <row r="241" spans="5:8">
      <c r="E241" s="263" t="str">
        <f>IF(OR(G241="",H241=""),"",ACOS((SIN(RADIANS(G241)) * SIN(RADIANS('Hydrologie-Méthode rationnelle'!$C$22))) + (COS(RADIANS(G241)) * COS(RADIANS('Hydrologie-Méthode rationnelle'!$C$22))) * (COS(RADIANS(H241) - RADIANS('Hydrologie-Méthode rationnelle'!$C$23)))) * 6371)</f>
        <v/>
      </c>
      <c r="G241" s="293"/>
      <c r="H241" s="293"/>
    </row>
    <row r="242" spans="5:8">
      <c r="E242" s="263" t="str">
        <f>IF(OR(G242="",H242=""),"",ACOS((SIN(RADIANS(G242)) * SIN(RADIANS('Hydrologie-Méthode rationnelle'!$C$22))) + (COS(RADIANS(G242)) * COS(RADIANS('Hydrologie-Méthode rationnelle'!$C$22))) * (COS(RADIANS(H242) - RADIANS('Hydrologie-Méthode rationnelle'!$C$23)))) * 6371)</f>
        <v/>
      </c>
      <c r="G242" s="293"/>
      <c r="H242" s="293"/>
    </row>
    <row r="243" spans="5:8">
      <c r="E243" s="263" t="str">
        <f>IF(OR(G243="",H243=""),"",ACOS((SIN(RADIANS(G243)) * SIN(RADIANS('Hydrologie-Méthode rationnelle'!$C$22))) + (COS(RADIANS(G243)) * COS(RADIANS('Hydrologie-Méthode rationnelle'!$C$22))) * (COS(RADIANS(H243) - RADIANS('Hydrologie-Méthode rationnelle'!$C$23)))) * 6371)</f>
        <v/>
      </c>
      <c r="G243" s="293"/>
      <c r="H243" s="293"/>
    </row>
    <row r="244" spans="5:8">
      <c r="E244" s="263" t="str">
        <f>IF(OR(G244="",H244=""),"",ACOS((SIN(RADIANS(G244)) * SIN(RADIANS('Hydrologie-Méthode rationnelle'!$C$22))) + (COS(RADIANS(G244)) * COS(RADIANS('Hydrologie-Méthode rationnelle'!$C$22))) * (COS(RADIANS(H244) - RADIANS('Hydrologie-Méthode rationnelle'!$C$23)))) * 6371)</f>
        <v/>
      </c>
      <c r="G244" s="293"/>
      <c r="H244" s="293"/>
    </row>
    <row r="245" spans="5:8">
      <c r="E245" s="263" t="str">
        <f>IF(OR(G245="",H245=""),"",ACOS((SIN(RADIANS(G245)) * SIN(RADIANS('Hydrologie-Méthode rationnelle'!$C$22))) + (COS(RADIANS(G245)) * COS(RADIANS('Hydrologie-Méthode rationnelle'!$C$22))) * (COS(RADIANS(H245) - RADIANS('Hydrologie-Méthode rationnelle'!$C$23)))) * 6371)</f>
        <v/>
      </c>
      <c r="G245" s="293"/>
      <c r="H245" s="293"/>
    </row>
    <row r="246" spans="5:8">
      <c r="E246" s="263" t="str">
        <f>IF(OR(G246="",H246=""),"",ACOS((SIN(RADIANS(G246)) * SIN(RADIANS('Hydrologie-Méthode rationnelle'!$C$22))) + (COS(RADIANS(G246)) * COS(RADIANS('Hydrologie-Méthode rationnelle'!$C$22))) * (COS(RADIANS(H246) - RADIANS('Hydrologie-Méthode rationnelle'!$C$23)))) * 6371)</f>
        <v/>
      </c>
      <c r="G246" s="293"/>
      <c r="H246" s="293"/>
    </row>
    <row r="247" spans="5:8">
      <c r="E247" s="263" t="str">
        <f>IF(OR(G247="",H247=""),"",ACOS((SIN(RADIANS(G247)) * SIN(RADIANS('Hydrologie-Méthode rationnelle'!$C$22))) + (COS(RADIANS(G247)) * COS(RADIANS('Hydrologie-Méthode rationnelle'!$C$22))) * (COS(RADIANS(H247) - RADIANS('Hydrologie-Méthode rationnelle'!$C$23)))) * 6371)</f>
        <v/>
      </c>
      <c r="G247" s="293"/>
      <c r="H247" s="293"/>
    </row>
    <row r="248" spans="5:8">
      <c r="E248" s="263" t="str">
        <f>IF(OR(G248="",H248=""),"",ACOS((SIN(RADIANS(G248)) * SIN(RADIANS('Hydrologie-Méthode rationnelle'!$C$22))) + (COS(RADIANS(G248)) * COS(RADIANS('Hydrologie-Méthode rationnelle'!$C$22))) * (COS(RADIANS(H248) - RADIANS('Hydrologie-Méthode rationnelle'!$C$23)))) * 6371)</f>
        <v/>
      </c>
      <c r="G248" s="293"/>
      <c r="H248" s="293"/>
    </row>
    <row r="249" spans="5:8">
      <c r="E249" s="263" t="str">
        <f>IF(OR(G249="",H249=""),"",ACOS((SIN(RADIANS(G249)) * SIN(RADIANS('Hydrologie-Méthode rationnelle'!$C$22))) + (COS(RADIANS(G249)) * COS(RADIANS('Hydrologie-Méthode rationnelle'!$C$22))) * (COS(RADIANS(H249) - RADIANS('Hydrologie-Méthode rationnelle'!$C$23)))) * 6371)</f>
        <v/>
      </c>
      <c r="G249" s="293"/>
      <c r="H249" s="293"/>
    </row>
    <row r="250" spans="5:8">
      <c r="E250" s="263" t="str">
        <f>IF(OR(G250="",H250=""),"",ACOS((SIN(RADIANS(G250)) * SIN(RADIANS('Hydrologie-Méthode rationnelle'!$C$22))) + (COS(RADIANS(G250)) * COS(RADIANS('Hydrologie-Méthode rationnelle'!$C$22))) * (COS(RADIANS(H250) - RADIANS('Hydrologie-Méthode rationnelle'!$C$23)))) * 6371)</f>
        <v/>
      </c>
      <c r="G250" s="293"/>
      <c r="H250" s="293"/>
    </row>
    <row r="251" spans="5:8">
      <c r="E251" s="263" t="str">
        <f>IF(OR(G251="",H251=""),"",ACOS((SIN(RADIANS(G251)) * SIN(RADIANS('Hydrologie-Méthode rationnelle'!$C$22))) + (COS(RADIANS(G251)) * COS(RADIANS('Hydrologie-Méthode rationnelle'!$C$22))) * (COS(RADIANS(H251) - RADIANS('Hydrologie-Méthode rationnelle'!$C$23)))) * 6371)</f>
        <v/>
      </c>
      <c r="G251" s="293"/>
      <c r="H251" s="293"/>
    </row>
    <row r="252" spans="5:8">
      <c r="E252" s="263" t="str">
        <f>IF(OR(G252="",H252=""),"",ACOS((SIN(RADIANS(G252)) * SIN(RADIANS('Hydrologie-Méthode rationnelle'!$C$22))) + (COS(RADIANS(G252)) * COS(RADIANS('Hydrologie-Méthode rationnelle'!$C$22))) * (COS(RADIANS(H252) - RADIANS('Hydrologie-Méthode rationnelle'!$C$23)))) * 6371)</f>
        <v/>
      </c>
      <c r="G252" s="293"/>
      <c r="H252" s="293"/>
    </row>
    <row r="253" spans="5:8">
      <c r="E253" s="263" t="str">
        <f>IF(OR(G253="",H253=""),"",ACOS((SIN(RADIANS(G253)) * SIN(RADIANS('Hydrologie-Méthode rationnelle'!$C$22))) + (COS(RADIANS(G253)) * COS(RADIANS('Hydrologie-Méthode rationnelle'!$C$22))) * (COS(RADIANS(H253) - RADIANS('Hydrologie-Méthode rationnelle'!$C$23)))) * 6371)</f>
        <v/>
      </c>
      <c r="G253" s="293"/>
      <c r="H253" s="293"/>
    </row>
    <row r="254" spans="5:8">
      <c r="E254" s="263" t="str">
        <f>IF(OR(G254="",H254=""),"",ACOS((SIN(RADIANS(G254)) * SIN(RADIANS('Hydrologie-Méthode rationnelle'!$C$22))) + (COS(RADIANS(G254)) * COS(RADIANS('Hydrologie-Méthode rationnelle'!$C$22))) * (COS(RADIANS(H254) - RADIANS('Hydrologie-Méthode rationnelle'!$C$23)))) * 6371)</f>
        <v/>
      </c>
      <c r="G254" s="293"/>
      <c r="H254" s="293"/>
    </row>
    <row r="255" spans="5:8">
      <c r="E255" s="263" t="str">
        <f>IF(OR(G255="",H255=""),"",ACOS((SIN(RADIANS(G255)) * SIN(RADIANS('Hydrologie-Méthode rationnelle'!$C$22))) + (COS(RADIANS(G255)) * COS(RADIANS('Hydrologie-Méthode rationnelle'!$C$22))) * (COS(RADIANS(H255) - RADIANS('Hydrologie-Méthode rationnelle'!$C$23)))) * 6371)</f>
        <v/>
      </c>
      <c r="G255" s="293"/>
      <c r="H255" s="293"/>
    </row>
    <row r="256" spans="5:8">
      <c r="E256" s="263" t="str">
        <f>IF(OR(G256="",H256=""),"",ACOS((SIN(RADIANS(G256)) * SIN(RADIANS('Hydrologie-Méthode rationnelle'!$C$22))) + (COS(RADIANS(G256)) * COS(RADIANS('Hydrologie-Méthode rationnelle'!$C$22))) * (COS(RADIANS(H256) - RADIANS('Hydrologie-Méthode rationnelle'!$C$23)))) * 6371)</f>
        <v/>
      </c>
      <c r="G256" s="293"/>
      <c r="H256" s="293"/>
    </row>
    <row r="257" spans="5:8">
      <c r="E257" s="263" t="str">
        <f>IF(OR(G257="",H257=""),"",ACOS((SIN(RADIANS(G257)) * SIN(RADIANS('Hydrologie-Méthode rationnelle'!$C$22))) + (COS(RADIANS(G257)) * COS(RADIANS('Hydrologie-Méthode rationnelle'!$C$22))) * (COS(RADIANS(H257) - RADIANS('Hydrologie-Méthode rationnelle'!$C$23)))) * 6371)</f>
        <v/>
      </c>
      <c r="G257" s="293"/>
      <c r="H257" s="293"/>
    </row>
    <row r="258" spans="5:8">
      <c r="E258" s="263" t="str">
        <f>IF(OR(G258="",H258=""),"",ACOS((SIN(RADIANS(G258)) * SIN(RADIANS('Hydrologie-Méthode rationnelle'!$C$22))) + (COS(RADIANS(G258)) * COS(RADIANS('Hydrologie-Méthode rationnelle'!$C$22))) * (COS(RADIANS(H258) - RADIANS('Hydrologie-Méthode rationnelle'!$C$23)))) * 6371)</f>
        <v/>
      </c>
      <c r="G258" s="293"/>
      <c r="H258" s="293"/>
    </row>
    <row r="259" spans="5:8">
      <c r="E259" s="263" t="str">
        <f>IF(OR(G259="",H259=""),"",ACOS((SIN(RADIANS(G259)) * SIN(RADIANS('Hydrologie-Méthode rationnelle'!$C$22))) + (COS(RADIANS(G259)) * COS(RADIANS('Hydrologie-Méthode rationnelle'!$C$22))) * (COS(RADIANS(H259) - RADIANS('Hydrologie-Méthode rationnelle'!$C$23)))) * 6371)</f>
        <v/>
      </c>
      <c r="G259" s="293"/>
      <c r="H259" s="293"/>
    </row>
    <row r="260" spans="5:8">
      <c r="E260" s="263" t="str">
        <f>IF(OR(G260="",H260=""),"",ACOS((SIN(RADIANS(G260)) * SIN(RADIANS('Hydrologie-Méthode rationnelle'!$C$22))) + (COS(RADIANS(G260)) * COS(RADIANS('Hydrologie-Méthode rationnelle'!$C$22))) * (COS(RADIANS(H260) - RADIANS('Hydrologie-Méthode rationnelle'!$C$23)))) * 6371)</f>
        <v/>
      </c>
      <c r="G260" s="293"/>
      <c r="H260" s="293"/>
    </row>
    <row r="261" spans="5:8">
      <c r="E261" s="263" t="str">
        <f>IF(OR(G261="",H261=""),"",ACOS((SIN(RADIANS(G261)) * SIN(RADIANS('Hydrologie-Méthode rationnelle'!$C$22))) + (COS(RADIANS(G261)) * COS(RADIANS('Hydrologie-Méthode rationnelle'!$C$22))) * (COS(RADIANS(H261) - RADIANS('Hydrologie-Méthode rationnelle'!$C$23)))) * 6371)</f>
        <v/>
      </c>
      <c r="G261" s="293"/>
      <c r="H261" s="293"/>
    </row>
    <row r="262" spans="5:8">
      <c r="E262" s="263" t="str">
        <f>IF(OR(G262="",H262=""),"",ACOS((SIN(RADIANS(G262)) * SIN(RADIANS('Hydrologie-Méthode rationnelle'!$C$22))) + (COS(RADIANS(G262)) * COS(RADIANS('Hydrologie-Méthode rationnelle'!$C$22))) * (COS(RADIANS(H262) - RADIANS('Hydrologie-Méthode rationnelle'!$C$23)))) * 6371)</f>
        <v/>
      </c>
      <c r="G262" s="293"/>
      <c r="H262" s="293"/>
    </row>
    <row r="263" spans="5:8">
      <c r="E263" s="263" t="str">
        <f>IF(OR(G263="",H263=""),"",ACOS((SIN(RADIANS(G263)) * SIN(RADIANS('Hydrologie-Méthode rationnelle'!$C$22))) + (COS(RADIANS(G263)) * COS(RADIANS('Hydrologie-Méthode rationnelle'!$C$22))) * (COS(RADIANS(H263) - RADIANS('Hydrologie-Méthode rationnelle'!$C$23)))) * 6371)</f>
        <v/>
      </c>
      <c r="G263" s="293"/>
      <c r="H263" s="293"/>
    </row>
    <row r="264" spans="5:8">
      <c r="E264" s="263" t="str">
        <f>IF(OR(G264="",H264=""),"",ACOS((SIN(RADIANS(G264)) * SIN(RADIANS('Hydrologie-Méthode rationnelle'!$C$22))) + (COS(RADIANS(G264)) * COS(RADIANS('Hydrologie-Méthode rationnelle'!$C$22))) * (COS(RADIANS(H264) - RADIANS('Hydrologie-Méthode rationnelle'!$C$23)))) * 6371)</f>
        <v/>
      </c>
      <c r="G264" s="293"/>
      <c r="H264" s="293"/>
    </row>
    <row r="265" spans="5:8">
      <c r="E265" s="263" t="str">
        <f>IF(OR(G265="",H265=""),"",ACOS((SIN(RADIANS(G265)) * SIN(RADIANS('Hydrologie-Méthode rationnelle'!$C$22))) + (COS(RADIANS(G265)) * COS(RADIANS('Hydrologie-Méthode rationnelle'!$C$22))) * (COS(RADIANS(H265) - RADIANS('Hydrologie-Méthode rationnelle'!$C$23)))) * 6371)</f>
        <v/>
      </c>
      <c r="G265" s="293"/>
      <c r="H265" s="293"/>
    </row>
    <row r="266" spans="5:8">
      <c r="E266" s="263" t="str">
        <f>IF(OR(G266="",H266=""),"",ACOS((SIN(RADIANS(G266)) * SIN(RADIANS('Hydrologie-Méthode rationnelle'!$C$22))) + (COS(RADIANS(G266)) * COS(RADIANS('Hydrologie-Méthode rationnelle'!$C$22))) * (COS(RADIANS(H266) - RADIANS('Hydrologie-Méthode rationnelle'!$C$23)))) * 6371)</f>
        <v/>
      </c>
      <c r="G266" s="293"/>
      <c r="H266" s="293"/>
    </row>
    <row r="267" spans="5:8">
      <c r="E267" s="263" t="str">
        <f>IF(OR(G267="",H267=""),"",ACOS((SIN(RADIANS(G267)) * SIN(RADIANS('Hydrologie-Méthode rationnelle'!$C$22))) + (COS(RADIANS(G267)) * COS(RADIANS('Hydrologie-Méthode rationnelle'!$C$22))) * (COS(RADIANS(H267) - RADIANS('Hydrologie-Méthode rationnelle'!$C$23)))) * 6371)</f>
        <v/>
      </c>
      <c r="G267" s="293"/>
      <c r="H267" s="293"/>
    </row>
    <row r="268" spans="5:8">
      <c r="E268" s="263" t="str">
        <f>IF(OR(G268="",H268=""),"",ACOS((SIN(RADIANS(G268)) * SIN(RADIANS('Hydrologie-Méthode rationnelle'!$C$22))) + (COS(RADIANS(G268)) * COS(RADIANS('Hydrologie-Méthode rationnelle'!$C$22))) * (COS(RADIANS(H268) - RADIANS('Hydrologie-Méthode rationnelle'!$C$23)))) * 6371)</f>
        <v/>
      </c>
      <c r="G268" s="293"/>
      <c r="H268" s="293"/>
    </row>
    <row r="269" spans="5:8">
      <c r="E269" s="263" t="str">
        <f>IF(OR(G269="",H269=""),"",ACOS((SIN(RADIANS(G269)) * SIN(RADIANS('Hydrologie-Méthode rationnelle'!$C$22))) + (COS(RADIANS(G269)) * COS(RADIANS('Hydrologie-Méthode rationnelle'!$C$22))) * (COS(RADIANS(H269) - RADIANS('Hydrologie-Méthode rationnelle'!$C$23)))) * 6371)</f>
        <v/>
      </c>
      <c r="G269" s="293"/>
      <c r="H269" s="293"/>
    </row>
    <row r="270" spans="5:8">
      <c r="E270" s="263" t="str">
        <f>IF(OR(G270="",H270=""),"",ACOS((SIN(RADIANS(G270)) * SIN(RADIANS('Hydrologie-Méthode rationnelle'!$C$22))) + (COS(RADIANS(G270)) * COS(RADIANS('Hydrologie-Méthode rationnelle'!$C$22))) * (COS(RADIANS(H270) - RADIANS('Hydrologie-Méthode rationnelle'!$C$23)))) * 6371)</f>
        <v/>
      </c>
      <c r="G270" s="293"/>
      <c r="H270" s="293"/>
    </row>
    <row r="271" spans="5:8">
      <c r="E271" s="263" t="str">
        <f>IF(OR(G271="",H271=""),"",ACOS((SIN(RADIANS(G271)) * SIN(RADIANS('Hydrologie-Méthode rationnelle'!$C$22))) + (COS(RADIANS(G271)) * COS(RADIANS('Hydrologie-Méthode rationnelle'!$C$22))) * (COS(RADIANS(H271) - RADIANS('Hydrologie-Méthode rationnelle'!$C$23)))) * 6371)</f>
        <v/>
      </c>
      <c r="G271" s="293"/>
      <c r="H271" s="293"/>
    </row>
    <row r="272" spans="5:8">
      <c r="E272" s="263" t="str">
        <f>IF(OR(G272="",H272=""),"",ACOS((SIN(RADIANS(G272)) * SIN(RADIANS('Hydrologie-Méthode rationnelle'!$C$22))) + (COS(RADIANS(G272)) * COS(RADIANS('Hydrologie-Méthode rationnelle'!$C$22))) * (COS(RADIANS(H272) - RADIANS('Hydrologie-Méthode rationnelle'!$C$23)))) * 6371)</f>
        <v/>
      </c>
      <c r="G272" s="293"/>
      <c r="H272" s="293"/>
    </row>
    <row r="273" spans="5:8">
      <c r="E273" s="263" t="str">
        <f>IF(OR(G273="",H273=""),"",ACOS((SIN(RADIANS(G273)) * SIN(RADIANS('Hydrologie-Méthode rationnelle'!$C$22))) + (COS(RADIANS(G273)) * COS(RADIANS('Hydrologie-Méthode rationnelle'!$C$22))) * (COS(RADIANS(H273) - RADIANS('Hydrologie-Méthode rationnelle'!$C$23)))) * 6371)</f>
        <v/>
      </c>
      <c r="G273" s="293"/>
      <c r="H273" s="293"/>
    </row>
    <row r="274" spans="5:8">
      <c r="E274" s="263" t="str">
        <f>IF(OR(G274="",H274=""),"",ACOS((SIN(RADIANS(G274)) * SIN(RADIANS('Hydrologie-Méthode rationnelle'!$C$22))) + (COS(RADIANS(G274)) * COS(RADIANS('Hydrologie-Méthode rationnelle'!$C$22))) * (COS(RADIANS(H274) - RADIANS('Hydrologie-Méthode rationnelle'!$C$23)))) * 6371)</f>
        <v/>
      </c>
      <c r="G274" s="293"/>
      <c r="H274" s="293"/>
    </row>
    <row r="275" spans="5:8">
      <c r="E275" s="263" t="str">
        <f>IF(OR(G275="",H275=""),"",ACOS((SIN(RADIANS(G275)) * SIN(RADIANS('Hydrologie-Méthode rationnelle'!$C$22))) + (COS(RADIANS(G275)) * COS(RADIANS('Hydrologie-Méthode rationnelle'!$C$22))) * (COS(RADIANS(H275) - RADIANS('Hydrologie-Méthode rationnelle'!$C$23)))) * 6371)</f>
        <v/>
      </c>
      <c r="G275" s="293"/>
      <c r="H275" s="293"/>
    </row>
    <row r="276" spans="5:8">
      <c r="E276" s="263" t="str">
        <f>IF(OR(G276="",H276=""),"",ACOS((SIN(RADIANS(G276)) * SIN(RADIANS('Hydrologie-Méthode rationnelle'!$C$22))) + (COS(RADIANS(G276)) * COS(RADIANS('Hydrologie-Méthode rationnelle'!$C$22))) * (COS(RADIANS(H276) - RADIANS('Hydrologie-Méthode rationnelle'!$C$23)))) * 6371)</f>
        <v/>
      </c>
      <c r="G276" s="293"/>
      <c r="H276" s="293"/>
    </row>
    <row r="277" spans="5:8">
      <c r="E277" s="263" t="str">
        <f>IF(OR(G277="",H277=""),"",ACOS((SIN(RADIANS(G277)) * SIN(RADIANS('Hydrologie-Méthode rationnelle'!$C$22))) + (COS(RADIANS(G277)) * COS(RADIANS('Hydrologie-Méthode rationnelle'!$C$22))) * (COS(RADIANS(H277) - RADIANS('Hydrologie-Méthode rationnelle'!$C$23)))) * 6371)</f>
        <v/>
      </c>
      <c r="G277" s="293"/>
      <c r="H277" s="293"/>
    </row>
    <row r="278" spans="5:8">
      <c r="E278" s="263" t="str">
        <f>IF(OR(G278="",H278=""),"",ACOS((SIN(RADIANS(G278)) * SIN(RADIANS('Hydrologie-Méthode rationnelle'!$C$22))) + (COS(RADIANS(G278)) * COS(RADIANS('Hydrologie-Méthode rationnelle'!$C$22))) * (COS(RADIANS(H278) - RADIANS('Hydrologie-Méthode rationnelle'!$C$23)))) * 6371)</f>
        <v/>
      </c>
      <c r="G278" s="293"/>
      <c r="H278" s="293"/>
    </row>
    <row r="279" spans="5:8">
      <c r="E279" s="263" t="str">
        <f>IF(OR(G279="",H279=""),"",ACOS((SIN(RADIANS(G279)) * SIN(RADIANS('Hydrologie-Méthode rationnelle'!$C$22))) + (COS(RADIANS(G279)) * COS(RADIANS('Hydrologie-Méthode rationnelle'!$C$22))) * (COS(RADIANS(H279) - RADIANS('Hydrologie-Méthode rationnelle'!$C$23)))) * 6371)</f>
        <v/>
      </c>
      <c r="G279" s="293"/>
      <c r="H279" s="293"/>
    </row>
    <row r="280" spans="5:8">
      <c r="E280" s="263" t="str">
        <f>IF(OR(G280="",H280=""),"",ACOS((SIN(RADIANS(G280)) * SIN(RADIANS('Hydrologie-Méthode rationnelle'!$C$22))) + (COS(RADIANS(G280)) * COS(RADIANS('Hydrologie-Méthode rationnelle'!$C$22))) * (COS(RADIANS(H280) - RADIANS('Hydrologie-Méthode rationnelle'!$C$23)))) * 6371)</f>
        <v/>
      </c>
      <c r="G280" s="293"/>
      <c r="H280" s="293"/>
    </row>
    <row r="281" spans="5:8">
      <c r="E281" s="263" t="str">
        <f>IF(OR(G281="",H281=""),"",ACOS((SIN(RADIANS(G281)) * SIN(RADIANS('Hydrologie-Méthode rationnelle'!$C$22))) + (COS(RADIANS(G281)) * COS(RADIANS('Hydrologie-Méthode rationnelle'!$C$22))) * (COS(RADIANS(H281) - RADIANS('Hydrologie-Méthode rationnelle'!$C$23)))) * 6371)</f>
        <v/>
      </c>
      <c r="G281" s="293"/>
      <c r="H281" s="293"/>
    </row>
    <row r="282" spans="5:8">
      <c r="E282" s="263" t="str">
        <f>IF(OR(G282="",H282=""),"",ACOS((SIN(RADIANS(G282)) * SIN(RADIANS('Hydrologie-Méthode rationnelle'!$C$22))) + (COS(RADIANS(G282)) * COS(RADIANS('Hydrologie-Méthode rationnelle'!$C$22))) * (COS(RADIANS(H282) - RADIANS('Hydrologie-Méthode rationnelle'!$C$23)))) * 6371)</f>
        <v/>
      </c>
      <c r="G282" s="293"/>
      <c r="H282" s="293"/>
    </row>
    <row r="283" spans="5:8">
      <c r="E283" s="263" t="str">
        <f>IF(OR(G283="",H283=""),"",ACOS((SIN(RADIANS(G283)) * SIN(RADIANS('Hydrologie-Méthode rationnelle'!$C$22))) + (COS(RADIANS(G283)) * COS(RADIANS('Hydrologie-Méthode rationnelle'!$C$22))) * (COS(RADIANS(H283) - RADIANS('Hydrologie-Méthode rationnelle'!$C$23)))) * 6371)</f>
        <v/>
      </c>
      <c r="G283" s="293"/>
      <c r="H283" s="293"/>
    </row>
    <row r="284" spans="5:8">
      <c r="E284" s="263" t="str">
        <f>IF(OR(G284="",H284=""),"",ACOS((SIN(RADIANS(G284)) * SIN(RADIANS('Hydrologie-Méthode rationnelle'!$C$22))) + (COS(RADIANS(G284)) * COS(RADIANS('Hydrologie-Méthode rationnelle'!$C$22))) * (COS(RADIANS(H284) - RADIANS('Hydrologie-Méthode rationnelle'!$C$23)))) * 6371)</f>
        <v/>
      </c>
      <c r="G284" s="293"/>
      <c r="H284" s="293"/>
    </row>
    <row r="285" spans="5:8">
      <c r="E285" s="263" t="str">
        <f>IF(OR(G285="",H285=""),"",ACOS((SIN(RADIANS(G285)) * SIN(RADIANS('Hydrologie-Méthode rationnelle'!$C$22))) + (COS(RADIANS(G285)) * COS(RADIANS('Hydrologie-Méthode rationnelle'!$C$22))) * (COS(RADIANS(H285) - RADIANS('Hydrologie-Méthode rationnelle'!$C$23)))) * 6371)</f>
        <v/>
      </c>
      <c r="G285" s="293"/>
      <c r="H285" s="293"/>
    </row>
    <row r="286" spans="5:8">
      <c r="E286" s="263" t="str">
        <f>IF(OR(G286="",H286=""),"",ACOS((SIN(RADIANS(G286)) * SIN(RADIANS('Hydrologie-Méthode rationnelle'!$C$22))) + (COS(RADIANS(G286)) * COS(RADIANS('Hydrologie-Méthode rationnelle'!$C$22))) * (COS(RADIANS(H286) - RADIANS('Hydrologie-Méthode rationnelle'!$C$23)))) * 6371)</f>
        <v/>
      </c>
      <c r="G286" s="293"/>
      <c r="H286" s="293"/>
    </row>
    <row r="287" spans="5:8">
      <c r="E287" s="263" t="str">
        <f>IF(OR(G287="",H287=""),"",ACOS((SIN(RADIANS(G287)) * SIN(RADIANS('Hydrologie-Méthode rationnelle'!$C$22))) + (COS(RADIANS(G287)) * COS(RADIANS('Hydrologie-Méthode rationnelle'!$C$22))) * (COS(RADIANS(H287) - RADIANS('Hydrologie-Méthode rationnelle'!$C$23)))) * 6371)</f>
        <v/>
      </c>
      <c r="G287" s="293"/>
      <c r="H287" s="293"/>
    </row>
    <row r="288" spans="5:8">
      <c r="E288" s="263" t="str">
        <f>IF(OR(G288="",H288=""),"",ACOS((SIN(RADIANS(G288)) * SIN(RADIANS('Hydrologie-Méthode rationnelle'!$C$22))) + (COS(RADIANS(G288)) * COS(RADIANS('Hydrologie-Méthode rationnelle'!$C$22))) * (COS(RADIANS(H288) - RADIANS('Hydrologie-Méthode rationnelle'!$C$23)))) * 6371)</f>
        <v/>
      </c>
      <c r="G288" s="293"/>
      <c r="H288" s="293"/>
    </row>
    <row r="289" spans="5:8">
      <c r="E289" s="263" t="str">
        <f>IF(OR(G289="",H289=""),"",ACOS((SIN(RADIANS(G289)) * SIN(RADIANS('Hydrologie-Méthode rationnelle'!$C$22))) + (COS(RADIANS(G289)) * COS(RADIANS('Hydrologie-Méthode rationnelle'!$C$22))) * (COS(RADIANS(H289) - RADIANS('Hydrologie-Méthode rationnelle'!$C$23)))) * 6371)</f>
        <v/>
      </c>
      <c r="G289" s="293"/>
      <c r="H289" s="293"/>
    </row>
    <row r="290" spans="5:8">
      <c r="E290" s="263" t="str">
        <f>IF(OR(G290="",H290=""),"",ACOS((SIN(RADIANS(G290)) * SIN(RADIANS('Hydrologie-Méthode rationnelle'!$C$22))) + (COS(RADIANS(G290)) * COS(RADIANS('Hydrologie-Méthode rationnelle'!$C$22))) * (COS(RADIANS(H290) - RADIANS('Hydrologie-Méthode rationnelle'!$C$23)))) * 6371)</f>
        <v/>
      </c>
      <c r="G290" s="293"/>
      <c r="H290" s="293"/>
    </row>
    <row r="291" spans="5:8">
      <c r="E291" s="263" t="str">
        <f>IF(OR(G291="",H291=""),"",ACOS((SIN(RADIANS(G291)) * SIN(RADIANS('Hydrologie-Méthode rationnelle'!$C$22))) + (COS(RADIANS(G291)) * COS(RADIANS('Hydrologie-Méthode rationnelle'!$C$22))) * (COS(RADIANS(H291) - RADIANS('Hydrologie-Méthode rationnelle'!$C$23)))) * 6371)</f>
        <v/>
      </c>
      <c r="G291" s="293"/>
      <c r="H291" s="293"/>
    </row>
    <row r="292" spans="5:8">
      <c r="E292" s="263" t="str">
        <f>IF(OR(G292="",H292=""),"",ACOS((SIN(RADIANS(G292)) * SIN(RADIANS('Hydrologie-Méthode rationnelle'!$C$22))) + (COS(RADIANS(G292)) * COS(RADIANS('Hydrologie-Méthode rationnelle'!$C$22))) * (COS(RADIANS(H292) - RADIANS('Hydrologie-Méthode rationnelle'!$C$23)))) * 6371)</f>
        <v/>
      </c>
      <c r="G292" s="293"/>
      <c r="H292" s="293"/>
    </row>
    <row r="293" spans="5:8">
      <c r="E293" s="263" t="str">
        <f>IF(OR(G293="",H293=""),"",ACOS((SIN(RADIANS(G293)) * SIN(RADIANS('Hydrologie-Méthode rationnelle'!$C$22))) + (COS(RADIANS(G293)) * COS(RADIANS('Hydrologie-Méthode rationnelle'!$C$22))) * (COS(RADIANS(H293) - RADIANS('Hydrologie-Méthode rationnelle'!$C$23)))) * 6371)</f>
        <v/>
      </c>
      <c r="G293" s="293"/>
      <c r="H293" s="293"/>
    </row>
    <row r="294" spans="5:8">
      <c r="E294" s="263" t="str">
        <f>IF(OR(G294="",H294=""),"",ACOS((SIN(RADIANS(G294)) * SIN(RADIANS('Hydrologie-Méthode rationnelle'!$C$22))) + (COS(RADIANS(G294)) * COS(RADIANS('Hydrologie-Méthode rationnelle'!$C$22))) * (COS(RADIANS(H294) - RADIANS('Hydrologie-Méthode rationnelle'!$C$23)))) * 6371)</f>
        <v/>
      </c>
      <c r="G294" s="293"/>
      <c r="H294" s="293"/>
    </row>
    <row r="295" spans="5:8">
      <c r="E295" s="263" t="str">
        <f>IF(OR(G295="",H295=""),"",ACOS((SIN(RADIANS(G295)) * SIN(RADIANS('Hydrologie-Méthode rationnelle'!$C$22))) + (COS(RADIANS(G295)) * COS(RADIANS('Hydrologie-Méthode rationnelle'!$C$22))) * (COS(RADIANS(H295) - RADIANS('Hydrologie-Méthode rationnelle'!$C$23)))) * 6371)</f>
        <v/>
      </c>
      <c r="G295" s="293"/>
      <c r="H295" s="293"/>
    </row>
    <row r="296" spans="5:8">
      <c r="E296" s="263" t="str">
        <f>IF(OR(G296="",H296=""),"",ACOS((SIN(RADIANS(G296)) * SIN(RADIANS('Hydrologie-Méthode rationnelle'!$C$22))) + (COS(RADIANS(G296)) * COS(RADIANS('Hydrologie-Méthode rationnelle'!$C$22))) * (COS(RADIANS(H296) - RADIANS('Hydrologie-Méthode rationnelle'!$C$23)))) * 6371)</f>
        <v/>
      </c>
      <c r="G296" s="293"/>
      <c r="H296" s="293"/>
    </row>
    <row r="297" spans="5:8">
      <c r="E297" s="263" t="str">
        <f>IF(OR(G297="",H297=""),"",ACOS((SIN(RADIANS(G297)) * SIN(RADIANS('Hydrologie-Méthode rationnelle'!$C$22))) + (COS(RADIANS(G297)) * COS(RADIANS('Hydrologie-Méthode rationnelle'!$C$22))) * (COS(RADIANS(H297) - RADIANS('Hydrologie-Méthode rationnelle'!$C$23)))) * 6371)</f>
        <v/>
      </c>
      <c r="G297" s="293"/>
      <c r="H297" s="293"/>
    </row>
    <row r="298" spans="5:8">
      <c r="E298" s="263" t="str">
        <f>IF(OR(G298="",H298=""),"",ACOS((SIN(RADIANS(G298)) * SIN(RADIANS('Hydrologie-Méthode rationnelle'!$C$22))) + (COS(RADIANS(G298)) * COS(RADIANS('Hydrologie-Méthode rationnelle'!$C$22))) * (COS(RADIANS(H298) - RADIANS('Hydrologie-Méthode rationnelle'!$C$23)))) * 6371)</f>
        <v/>
      </c>
    </row>
    <row r="299" spans="5:8">
      <c r="E299" s="263" t="str">
        <f>IF(OR(G299="",H299=""),"",ACOS((SIN(RADIANS(G299)) * SIN(RADIANS('Hydrologie-Méthode rationnelle'!$C$22))) + (COS(RADIANS(G299)) * COS(RADIANS('Hydrologie-Méthode rationnelle'!$C$22))) * (COS(RADIANS(H299) - RADIANS('Hydrologie-Méthode rationnelle'!$C$23)))) * 6371)</f>
        <v/>
      </c>
    </row>
    <row r="300" spans="5:8">
      <c r="E300" s="263" t="str">
        <f>IF(OR(G300="",H300=""),"",ACOS((SIN(RADIANS(G300)) * SIN(RADIANS('Hydrologie-Méthode rationnelle'!$C$22))) + (COS(RADIANS(G300)) * COS(RADIANS('Hydrologie-Méthode rationnelle'!$C$22))) * (COS(RADIANS(H300) - RADIANS('Hydrologie-Méthode rationnelle'!$C$23)))) * 6371)</f>
        <v/>
      </c>
    </row>
    <row r="301" spans="5:8">
      <c r="E301" s="263" t="str">
        <f>IF(OR(G301="",H301=""),"",ACOS((SIN(RADIANS(G301)) * SIN(RADIANS('Hydrologie-Méthode rationnelle'!$C$22))) + (COS(RADIANS(G301)) * COS(RADIANS('Hydrologie-Méthode rationnelle'!$C$22))) * (COS(RADIANS(H301) - RADIANS('Hydrologie-Méthode rationnelle'!$C$23)))) * 6371)</f>
        <v/>
      </c>
    </row>
    <row r="302" spans="5:8">
      <c r="E302" s="263" t="str">
        <f>IF(OR(G302="",H302=""),"",ACOS((SIN(RADIANS(G302)) * SIN(RADIANS('Hydrologie-Méthode rationnelle'!$C$22))) + (COS(RADIANS(G302)) * COS(RADIANS('Hydrologie-Méthode rationnelle'!$C$22))) * (COS(RADIANS(H302) - RADIANS('Hydrologie-Méthode rationnelle'!$C$23)))) * 6371)</f>
        <v/>
      </c>
    </row>
    <row r="303" spans="5:8">
      <c r="E303" s="263" t="str">
        <f>IF(OR(G303="",H303=""),"",ACOS((SIN(RADIANS(G303)) * SIN(RADIANS('Hydrologie-Méthode rationnelle'!$C$22))) + (COS(RADIANS(G303)) * COS(RADIANS('Hydrologie-Méthode rationnelle'!$C$22))) * (COS(RADIANS(H303) - RADIANS('Hydrologie-Méthode rationnelle'!$C$23)))) * 6371)</f>
        <v/>
      </c>
    </row>
    <row r="304" spans="5:8">
      <c r="E304" s="263" t="str">
        <f>IF(OR(G304="",H304=""),"",ACOS((SIN(RADIANS(G304)) * SIN(RADIANS('Hydrologie-Méthode rationnelle'!$C$22))) + (COS(RADIANS(G304)) * COS(RADIANS('Hydrologie-Méthode rationnelle'!$C$22))) * (COS(RADIANS(H304) - RADIANS('Hydrologie-Méthode rationnelle'!$C$23)))) * 6371)</f>
        <v/>
      </c>
    </row>
    <row r="305" spans="5:5">
      <c r="E305" s="263" t="str">
        <f>IF(OR(G305="",H305=""),"",ACOS((SIN(RADIANS(G305)) * SIN(RADIANS('Hydrologie-Méthode rationnelle'!$C$22))) + (COS(RADIANS(G305)) * COS(RADIANS('Hydrologie-Méthode rationnelle'!$C$22))) * (COS(RADIANS(H305) - RADIANS('Hydrologie-Méthode rationnelle'!$C$23)))) * 6371)</f>
        <v/>
      </c>
    </row>
    <row r="306" spans="5:5">
      <c r="E306" s="263" t="str">
        <f>IF(OR(G306="",H306=""),"",ACOS((SIN(RADIANS(G306)) * SIN(RADIANS('Hydrologie-Méthode rationnelle'!$C$22))) + (COS(RADIANS(G306)) * COS(RADIANS('Hydrologie-Méthode rationnelle'!$C$22))) * (COS(RADIANS(H306) - RADIANS('Hydrologie-Méthode rationnelle'!$C$23)))) * 6371)</f>
        <v/>
      </c>
    </row>
    <row r="307" spans="5:5">
      <c r="E307" s="263" t="str">
        <f>IF(OR(G307="",H307=""),"",ACOS((SIN(RADIANS(G307)) * SIN(RADIANS('Hydrologie-Méthode rationnelle'!$C$22))) + (COS(RADIANS(G307)) * COS(RADIANS('Hydrologie-Méthode rationnelle'!$C$22))) * (COS(RADIANS(H307) - RADIANS('Hydrologie-Méthode rationnelle'!$C$23)))) * 6371)</f>
        <v/>
      </c>
    </row>
    <row r="308" spans="5:5">
      <c r="E308" s="263" t="str">
        <f>IF(OR(G308="",H308=""),"",ACOS((SIN(RADIANS(G308)) * SIN(RADIANS('Hydrologie-Méthode rationnelle'!$C$22))) + (COS(RADIANS(G308)) * COS(RADIANS('Hydrologie-Méthode rationnelle'!$C$22))) * (COS(RADIANS(H308) - RADIANS('Hydrologie-Méthode rationnelle'!$C$23)))) * 6371)</f>
        <v/>
      </c>
    </row>
    <row r="309" spans="5:5">
      <c r="E309" s="263" t="str">
        <f>IF(OR(G309="",H309=""),"",ACOS((SIN(RADIANS(G309)) * SIN(RADIANS('Hydrologie-Méthode rationnelle'!$C$22))) + (COS(RADIANS(G309)) * COS(RADIANS('Hydrologie-Méthode rationnelle'!$C$22))) * (COS(RADIANS(H309) - RADIANS('Hydrologie-Méthode rationnelle'!$C$23)))) * 6371)</f>
        <v/>
      </c>
    </row>
    <row r="310" spans="5:5">
      <c r="E310" s="263" t="str">
        <f>IF(OR(G310="",H310=""),"",ACOS((SIN(RADIANS(G310)) * SIN(RADIANS('Hydrologie-Méthode rationnelle'!$C$22))) + (COS(RADIANS(G310)) * COS(RADIANS('Hydrologie-Méthode rationnelle'!$C$22))) * (COS(RADIANS(H310) - RADIANS('Hydrologie-Méthode rationnelle'!$C$23)))) * 6371)</f>
        <v/>
      </c>
    </row>
    <row r="311" spans="5:5">
      <c r="E311" s="263" t="str">
        <f>IF(OR(G311="",H311=""),"",ACOS((SIN(RADIANS(G311)) * SIN(RADIANS('Hydrologie-Méthode rationnelle'!$C$22))) + (COS(RADIANS(G311)) * COS(RADIANS('Hydrologie-Méthode rationnelle'!$C$22))) * (COS(RADIANS(H311) - RADIANS('Hydrologie-Méthode rationnelle'!$C$23)))) * 6371)</f>
        <v/>
      </c>
    </row>
    <row r="312" spans="5:5">
      <c r="E312" s="263" t="str">
        <f>IF(OR(G312="",H312=""),"",ACOS((SIN(RADIANS(G312)) * SIN(RADIANS('Hydrologie-Méthode rationnelle'!$C$22))) + (COS(RADIANS(G312)) * COS(RADIANS('Hydrologie-Méthode rationnelle'!$C$22))) * (COS(RADIANS(H312) - RADIANS('Hydrologie-Méthode rationnelle'!$C$23)))) * 6371)</f>
        <v/>
      </c>
    </row>
    <row r="313" spans="5:5">
      <c r="E313" s="263" t="str">
        <f>IF(OR(G313="",H313=""),"",ACOS((SIN(RADIANS(G313)) * SIN(RADIANS('Hydrologie-Méthode rationnelle'!$C$22))) + (COS(RADIANS(G313)) * COS(RADIANS('Hydrologie-Méthode rationnelle'!$C$22))) * (COS(RADIANS(H313) - RADIANS('Hydrologie-Méthode rationnelle'!$C$23)))) * 6371)</f>
        <v/>
      </c>
    </row>
    <row r="314" spans="5:5">
      <c r="E314" s="263" t="str">
        <f>IF(OR(G314="",H314=""),"",ACOS((SIN(RADIANS(G314)) * SIN(RADIANS('Hydrologie-Méthode rationnelle'!$C$22))) + (COS(RADIANS(G314)) * COS(RADIANS('Hydrologie-Méthode rationnelle'!$C$22))) * (COS(RADIANS(H314) - RADIANS('Hydrologie-Méthode rationnelle'!$C$23)))) * 6371)</f>
        <v/>
      </c>
    </row>
    <row r="315" spans="5:5">
      <c r="E315" s="263" t="str">
        <f>IF(OR(G315="",H315=""),"",ACOS((SIN(RADIANS(G315)) * SIN(RADIANS('Hydrologie-Méthode rationnelle'!$C$22))) + (COS(RADIANS(G315)) * COS(RADIANS('Hydrologie-Méthode rationnelle'!$C$22))) * (COS(RADIANS(H315) - RADIANS('Hydrologie-Méthode rationnelle'!$C$23)))) * 6371)</f>
        <v/>
      </c>
    </row>
    <row r="316" spans="5:5">
      <c r="E316" s="263" t="str">
        <f>IF(OR(G316="",H316=""),"",ACOS((SIN(RADIANS(G316)) * SIN(RADIANS('Hydrologie-Méthode rationnelle'!$C$22))) + (COS(RADIANS(G316)) * COS(RADIANS('Hydrologie-Méthode rationnelle'!$C$22))) * (COS(RADIANS(H316) - RADIANS('Hydrologie-Méthode rationnelle'!$C$23)))) * 6371)</f>
        <v/>
      </c>
    </row>
    <row r="317" spans="5:5">
      <c r="E317" s="263" t="str">
        <f>IF(OR(G317="",H317=""),"",ACOS((SIN(RADIANS(G317)) * SIN(RADIANS('Hydrologie-Méthode rationnelle'!$C$22))) + (COS(RADIANS(G317)) * COS(RADIANS('Hydrologie-Méthode rationnelle'!$C$22))) * (COS(RADIANS(H317) - RADIANS('Hydrologie-Méthode rationnelle'!$C$23)))) * 6371)</f>
        <v/>
      </c>
    </row>
    <row r="318" spans="5:5">
      <c r="E318" s="263" t="str">
        <f>IF(OR(G318="",H318=""),"",ACOS((SIN(RADIANS(G318)) * SIN(RADIANS('Hydrologie-Méthode rationnelle'!$C$22))) + (COS(RADIANS(G318)) * COS(RADIANS('Hydrologie-Méthode rationnelle'!$C$22))) * (COS(RADIANS(H318) - RADIANS('Hydrologie-Méthode rationnelle'!$C$23)))) * 6371)</f>
        <v/>
      </c>
    </row>
    <row r="319" spans="5:5">
      <c r="E319" s="263" t="str">
        <f>IF(OR(G319="",H319=""),"",ACOS((SIN(RADIANS(G319)) * SIN(RADIANS('Hydrologie-Méthode rationnelle'!$C$22))) + (COS(RADIANS(G319)) * COS(RADIANS('Hydrologie-Méthode rationnelle'!$C$22))) * (COS(RADIANS(H319) - RADIANS('Hydrologie-Méthode rationnelle'!$C$23)))) * 6371)</f>
        <v/>
      </c>
    </row>
    <row r="320" spans="5:5">
      <c r="E320" s="263" t="str">
        <f>IF(OR(G320="",H320=""),"",ACOS((SIN(RADIANS(G320)) * SIN(RADIANS('Hydrologie-Méthode rationnelle'!$C$22))) + (COS(RADIANS(G320)) * COS(RADIANS('Hydrologie-Méthode rationnelle'!$C$22))) * (COS(RADIANS(H320) - RADIANS('Hydrologie-Méthode rationnelle'!$C$23)))) * 6371)</f>
        <v/>
      </c>
    </row>
    <row r="321" spans="5:5">
      <c r="E321" s="263" t="str">
        <f>IF(OR(G321="",H321=""),"",ACOS((SIN(RADIANS(G321)) * SIN(RADIANS('Hydrologie-Méthode rationnelle'!$C$22))) + (COS(RADIANS(G321)) * COS(RADIANS('Hydrologie-Méthode rationnelle'!$C$22))) * (COS(RADIANS(H321) - RADIANS('Hydrologie-Méthode rationnelle'!$C$23)))) * 6371)</f>
        <v/>
      </c>
    </row>
    <row r="322" spans="5:5">
      <c r="E322" s="263" t="str">
        <f>IF(OR(G322="",H322=""),"",ACOS((SIN(RADIANS(G322)) * SIN(RADIANS('Hydrologie-Méthode rationnelle'!$C$22))) + (COS(RADIANS(G322)) * COS(RADIANS('Hydrologie-Méthode rationnelle'!$C$22))) * (COS(RADIANS(H322) - RADIANS('Hydrologie-Méthode rationnelle'!$C$23)))) * 6371)</f>
        <v/>
      </c>
    </row>
    <row r="323" spans="5:5">
      <c r="E323" s="263" t="str">
        <f>IF(OR(G323="",H323=""),"",ACOS((SIN(RADIANS(G323)) * SIN(RADIANS('Hydrologie-Méthode rationnelle'!$C$22))) + (COS(RADIANS(G323)) * COS(RADIANS('Hydrologie-Méthode rationnelle'!$C$22))) * (COS(RADIANS(H323) - RADIANS('Hydrologie-Méthode rationnelle'!$C$23)))) * 6371)</f>
        <v/>
      </c>
    </row>
    <row r="324" spans="5:5">
      <c r="E324" s="263" t="str">
        <f>IF(OR(G324="",H324=""),"",ACOS((SIN(RADIANS(G324)) * SIN(RADIANS('Hydrologie-Méthode rationnelle'!$C$22))) + (COS(RADIANS(G324)) * COS(RADIANS('Hydrologie-Méthode rationnelle'!$C$22))) * (COS(RADIANS(H324) - RADIANS('Hydrologie-Méthode rationnelle'!$C$23)))) * 6371)</f>
        <v/>
      </c>
    </row>
    <row r="325" spans="5:5">
      <c r="E325" s="263" t="str">
        <f>IF(OR(G325="",H325=""),"",ACOS((SIN(RADIANS(G325)) * SIN(RADIANS('Hydrologie-Méthode rationnelle'!$C$22))) + (COS(RADIANS(G325)) * COS(RADIANS('Hydrologie-Méthode rationnelle'!$C$22))) * (COS(RADIANS(H325) - RADIANS('Hydrologie-Méthode rationnelle'!$C$23)))) * 6371)</f>
        <v/>
      </c>
    </row>
    <row r="326" spans="5:5">
      <c r="E326" s="263" t="str">
        <f>IF(OR(G326="",H326=""),"",ACOS((SIN(RADIANS(G326)) * SIN(RADIANS('Hydrologie-Méthode rationnelle'!$C$22))) + (COS(RADIANS(G326)) * COS(RADIANS('Hydrologie-Méthode rationnelle'!$C$22))) * (COS(RADIANS(H326) - RADIANS('Hydrologie-Méthode rationnelle'!$C$23)))) * 6371)</f>
        <v/>
      </c>
    </row>
    <row r="327" spans="5:5">
      <c r="E327" s="263" t="str">
        <f>IF(OR(G327="",H327=""),"",ACOS((SIN(RADIANS(G327)) * SIN(RADIANS('Hydrologie-Méthode rationnelle'!$C$22))) + (COS(RADIANS(G327)) * COS(RADIANS('Hydrologie-Méthode rationnelle'!$C$22))) * (COS(RADIANS(H327) - RADIANS('Hydrologie-Méthode rationnelle'!$C$23)))) * 6371)</f>
        <v/>
      </c>
    </row>
    <row r="328" spans="5:5">
      <c r="E328" s="263" t="str">
        <f>IF(OR(G328="",H328=""),"",ACOS((SIN(RADIANS(G328)) * SIN(RADIANS('Hydrologie-Méthode rationnelle'!$C$22))) + (COS(RADIANS(G328)) * COS(RADIANS('Hydrologie-Méthode rationnelle'!$C$22))) * (COS(RADIANS(H328) - RADIANS('Hydrologie-Méthode rationnelle'!$C$23)))) * 6371)</f>
        <v/>
      </c>
    </row>
    <row r="329" spans="5:5">
      <c r="E329" s="263" t="str">
        <f>IF(OR(G329="",H329=""),"",ACOS((SIN(RADIANS(G329)) * SIN(RADIANS('Hydrologie-Méthode rationnelle'!$C$22))) + (COS(RADIANS(G329)) * COS(RADIANS('Hydrologie-Méthode rationnelle'!$C$22))) * (COS(RADIANS(H329) - RADIANS('Hydrologie-Méthode rationnelle'!$C$23)))) * 6371)</f>
        <v/>
      </c>
    </row>
    <row r="330" spans="5:5">
      <c r="E330" s="263" t="str">
        <f>IF(OR(G330="",H330=""),"",ACOS((SIN(RADIANS(G330)) * SIN(RADIANS('Hydrologie-Méthode rationnelle'!$C$22))) + (COS(RADIANS(G330)) * COS(RADIANS('Hydrologie-Méthode rationnelle'!$C$22))) * (COS(RADIANS(H330) - RADIANS('Hydrologie-Méthode rationnelle'!$C$23)))) * 6371)</f>
        <v/>
      </c>
    </row>
    <row r="331" spans="5:5">
      <c r="E331" s="263" t="str">
        <f>IF(OR(G331="",H331=""),"",ACOS((SIN(RADIANS(G331)) * SIN(RADIANS('Hydrologie-Méthode rationnelle'!$C$22))) + (COS(RADIANS(G331)) * COS(RADIANS('Hydrologie-Méthode rationnelle'!$C$22))) * (COS(RADIANS(H331) - RADIANS('Hydrologie-Méthode rationnelle'!$C$23)))) * 6371)</f>
        <v/>
      </c>
    </row>
    <row r="332" spans="5:5">
      <c r="E332" s="263" t="str">
        <f>IF(OR(G332="",H332=""),"",ACOS((SIN(RADIANS(G332)) * SIN(RADIANS('Hydrologie-Méthode rationnelle'!$C$22))) + (COS(RADIANS(G332)) * COS(RADIANS('Hydrologie-Méthode rationnelle'!$C$22))) * (COS(RADIANS(H332) - RADIANS('Hydrologie-Méthode rationnelle'!$C$23)))) * 6371)</f>
        <v/>
      </c>
    </row>
    <row r="333" spans="5:5">
      <c r="E333" s="263" t="str">
        <f>IF(OR(G333="",H333=""),"",ACOS((SIN(RADIANS(G333)) * SIN(RADIANS('Hydrologie-Méthode rationnelle'!$C$22))) + (COS(RADIANS(G333)) * COS(RADIANS('Hydrologie-Méthode rationnelle'!$C$22))) * (COS(RADIANS(H333) - RADIANS('Hydrologie-Méthode rationnelle'!$C$23)))) * 6371)</f>
        <v/>
      </c>
    </row>
    <row r="334" spans="5:5">
      <c r="E334" s="263" t="str">
        <f>IF(OR(G334="",H334=""),"",ACOS((SIN(RADIANS(G334)) * SIN(RADIANS('Hydrologie-Méthode rationnelle'!$C$22))) + (COS(RADIANS(G334)) * COS(RADIANS('Hydrologie-Méthode rationnelle'!$C$22))) * (COS(RADIANS(H334) - RADIANS('Hydrologie-Méthode rationnelle'!$C$23)))) * 6371)</f>
        <v/>
      </c>
    </row>
    <row r="335" spans="5:5">
      <c r="E335" s="263" t="str">
        <f>IF(OR(G335="",H335=""),"",ACOS((SIN(RADIANS(G335)) * SIN(RADIANS('Hydrologie-Méthode rationnelle'!$C$22))) + (COS(RADIANS(G335)) * COS(RADIANS('Hydrologie-Méthode rationnelle'!$C$22))) * (COS(RADIANS(H335) - RADIANS('Hydrologie-Méthode rationnelle'!$C$23)))) * 6371)</f>
        <v/>
      </c>
    </row>
    <row r="336" spans="5:5">
      <c r="E336" s="263" t="str">
        <f>IF(OR(G336="",H336=""),"",ACOS((SIN(RADIANS(G336)) * SIN(RADIANS('Hydrologie-Méthode rationnelle'!$C$22))) + (COS(RADIANS(G336)) * COS(RADIANS('Hydrologie-Méthode rationnelle'!$C$22))) * (COS(RADIANS(H336) - RADIANS('Hydrologie-Méthode rationnelle'!$C$23)))) * 6371)</f>
        <v/>
      </c>
    </row>
    <row r="337" spans="5:5">
      <c r="E337" s="263" t="str">
        <f>IF(OR(G337="",H337=""),"",ACOS((SIN(RADIANS(G337)) * SIN(RADIANS('Hydrologie-Méthode rationnelle'!$C$22))) + (COS(RADIANS(G337)) * COS(RADIANS('Hydrologie-Méthode rationnelle'!$C$22))) * (COS(RADIANS(H337) - RADIANS('Hydrologie-Méthode rationnelle'!$C$23)))) * 6371)</f>
        <v/>
      </c>
    </row>
    <row r="338" spans="5:5">
      <c r="E338" s="263" t="str">
        <f>IF(OR(G338="",H338=""),"",ACOS((SIN(RADIANS(G338)) * SIN(RADIANS('Hydrologie-Méthode rationnelle'!$C$22))) + (COS(RADIANS(G338)) * COS(RADIANS('Hydrologie-Méthode rationnelle'!$C$22))) * (COS(RADIANS(H338) - RADIANS('Hydrologie-Méthode rationnelle'!$C$23)))) * 6371)</f>
        <v/>
      </c>
    </row>
    <row r="339" spans="5:5">
      <c r="E339" s="263" t="str">
        <f>IF(OR(G339="",H339=""),"",ACOS((SIN(RADIANS(G339)) * SIN(RADIANS('Hydrologie-Méthode rationnelle'!$C$22))) + (COS(RADIANS(G339)) * COS(RADIANS('Hydrologie-Méthode rationnelle'!$C$22))) * (COS(RADIANS(H339) - RADIANS('Hydrologie-Méthode rationnelle'!$C$23)))) * 6371)</f>
        <v/>
      </c>
    </row>
    <row r="340" spans="5:5">
      <c r="E340" s="263" t="str">
        <f>IF(OR(G340="",H340=""),"",ACOS((SIN(RADIANS(G340)) * SIN(RADIANS('Hydrologie-Méthode rationnelle'!$C$22))) + (COS(RADIANS(G340)) * COS(RADIANS('Hydrologie-Méthode rationnelle'!$C$22))) * (COS(RADIANS(H340) - RADIANS('Hydrologie-Méthode rationnelle'!$C$23)))) * 6371)</f>
        <v/>
      </c>
    </row>
    <row r="341" spans="5:5">
      <c r="E341" s="263" t="str">
        <f>IF(OR(G341="",H341=""),"",ACOS((SIN(RADIANS(G341)) * SIN(RADIANS('Hydrologie-Méthode rationnelle'!$C$22))) + (COS(RADIANS(G341)) * COS(RADIANS('Hydrologie-Méthode rationnelle'!$C$22))) * (COS(RADIANS(H341) - RADIANS('Hydrologie-Méthode rationnelle'!$C$23)))) * 6371)</f>
        <v/>
      </c>
    </row>
    <row r="342" spans="5:5">
      <c r="E342" s="263" t="str">
        <f>IF(OR(G342="",H342=""),"",ACOS((SIN(RADIANS(G342)) * SIN(RADIANS('Hydrologie-Méthode rationnelle'!$C$22))) + (COS(RADIANS(G342)) * COS(RADIANS('Hydrologie-Méthode rationnelle'!$C$22))) * (COS(RADIANS(H342) - RADIANS('Hydrologie-Méthode rationnelle'!$C$23)))) * 6371)</f>
        <v/>
      </c>
    </row>
    <row r="343" spans="5:5">
      <c r="E343" s="263" t="str">
        <f>IF(OR(G343="",H343=""),"",ACOS((SIN(RADIANS(G343)) * SIN(RADIANS('Hydrologie-Méthode rationnelle'!$C$22))) + (COS(RADIANS(G343)) * COS(RADIANS('Hydrologie-Méthode rationnelle'!$C$22))) * (COS(RADIANS(H343) - RADIANS('Hydrologie-Méthode rationnelle'!$C$23)))) * 6371)</f>
        <v/>
      </c>
    </row>
    <row r="344" spans="5:5">
      <c r="E344" s="263" t="str">
        <f>IF(OR(G344="",H344=""),"",ACOS((SIN(RADIANS(G344)) * SIN(RADIANS('Hydrologie-Méthode rationnelle'!$C$22))) + (COS(RADIANS(G344)) * COS(RADIANS('Hydrologie-Méthode rationnelle'!$C$22))) * (COS(RADIANS(H344) - RADIANS('Hydrologie-Méthode rationnelle'!$C$23)))) * 6371)</f>
        <v/>
      </c>
    </row>
    <row r="345" spans="5:5">
      <c r="E345" s="263" t="str">
        <f>IF(OR(G345="",H345=""),"",ACOS((SIN(RADIANS(G345)) * SIN(RADIANS('Hydrologie-Méthode rationnelle'!$C$22))) + (COS(RADIANS(G345)) * COS(RADIANS('Hydrologie-Méthode rationnelle'!$C$22))) * (COS(RADIANS(H345) - RADIANS('Hydrologie-Méthode rationnelle'!$C$23)))) * 6371)</f>
        <v/>
      </c>
    </row>
    <row r="346" spans="5:5">
      <c r="E346" s="263" t="str">
        <f>IF(OR(G346="",H346=""),"",ACOS((SIN(RADIANS(G346)) * SIN(RADIANS('Hydrologie-Méthode rationnelle'!$C$22))) + (COS(RADIANS(G346)) * COS(RADIANS('Hydrologie-Méthode rationnelle'!$C$22))) * (COS(RADIANS(H346) - RADIANS('Hydrologie-Méthode rationnelle'!$C$23)))) * 6371)</f>
        <v/>
      </c>
    </row>
    <row r="347" spans="5:5">
      <c r="E347" s="263" t="str">
        <f>IF(OR(G347="",H347=""),"",ACOS((SIN(RADIANS(G347)) * SIN(RADIANS('Hydrologie-Méthode rationnelle'!$C$22))) + (COS(RADIANS(G347)) * COS(RADIANS('Hydrologie-Méthode rationnelle'!$C$22))) * (COS(RADIANS(H347) - RADIANS('Hydrologie-Méthode rationnelle'!$C$23)))) * 6371)</f>
        <v/>
      </c>
    </row>
    <row r="348" spans="5:5">
      <c r="E348" s="263" t="str">
        <f>IF(OR(G348="",H348=""),"",ACOS((SIN(RADIANS(G348)) * SIN(RADIANS('Hydrologie-Méthode rationnelle'!$C$22))) + (COS(RADIANS(G348)) * COS(RADIANS('Hydrologie-Méthode rationnelle'!$C$22))) * (COS(RADIANS(H348) - RADIANS('Hydrologie-Méthode rationnelle'!$C$23)))) * 6371)</f>
        <v/>
      </c>
    </row>
    <row r="349" spans="5:5">
      <c r="E349" s="263" t="str">
        <f>IF(OR(G349="",H349=""),"",ACOS((SIN(RADIANS(G349)) * SIN(RADIANS('Hydrologie-Méthode rationnelle'!$C$22))) + (COS(RADIANS(G349)) * COS(RADIANS('Hydrologie-Méthode rationnelle'!$C$22))) * (COS(RADIANS(H349) - RADIANS('Hydrologie-Méthode rationnelle'!$C$23)))) * 6371)</f>
        <v/>
      </c>
    </row>
    <row r="350" spans="5:5">
      <c r="E350" s="263" t="str">
        <f>IF(OR(G350="",H350=""),"",ACOS((SIN(RADIANS(G350)) * SIN(RADIANS('Hydrologie-Méthode rationnelle'!$C$22))) + (COS(RADIANS(G350)) * COS(RADIANS('Hydrologie-Méthode rationnelle'!$C$22))) * (COS(RADIANS(H350) - RADIANS('Hydrologie-Méthode rationnelle'!$C$23)))) * 6371)</f>
        <v/>
      </c>
    </row>
    <row r="351" spans="5:5">
      <c r="E351" s="263" t="str">
        <f>IF(OR(G351="",H351=""),"",ACOS((SIN(RADIANS(G351)) * SIN(RADIANS('Hydrologie-Méthode rationnelle'!$C$22))) + (COS(RADIANS(G351)) * COS(RADIANS('Hydrologie-Méthode rationnelle'!$C$22))) * (COS(RADIANS(H351) - RADIANS('Hydrologie-Méthode rationnelle'!$C$23)))) * 6371)</f>
        <v/>
      </c>
    </row>
    <row r="352" spans="5:5">
      <c r="E352" s="263" t="str">
        <f>IF(OR(G352="",H352=""),"",ACOS((SIN(RADIANS(G352)) * SIN(RADIANS('Hydrologie-Méthode rationnelle'!$C$22))) + (COS(RADIANS(G352)) * COS(RADIANS('Hydrologie-Méthode rationnelle'!$C$22))) * (COS(RADIANS(H352) - RADIANS('Hydrologie-Méthode rationnelle'!$C$23)))) * 6371)</f>
        <v/>
      </c>
    </row>
    <row r="353" spans="5:5">
      <c r="E353" s="263" t="str">
        <f>IF(OR(G353="",H353=""),"",ACOS((SIN(RADIANS(G353)) * SIN(RADIANS('Hydrologie-Méthode rationnelle'!$C$22))) + (COS(RADIANS(G353)) * COS(RADIANS('Hydrologie-Méthode rationnelle'!$C$22))) * (COS(RADIANS(H353) - RADIANS('Hydrologie-Méthode rationnelle'!$C$23)))) * 6371)</f>
        <v/>
      </c>
    </row>
    <row r="354" spans="5:5">
      <c r="E354" s="263" t="str">
        <f>IF(OR(G354="",H354=""),"",ACOS((SIN(RADIANS(G354)) * SIN(RADIANS('Hydrologie-Méthode rationnelle'!$C$22))) + (COS(RADIANS(G354)) * COS(RADIANS('Hydrologie-Méthode rationnelle'!$C$22))) * (COS(RADIANS(H354) - RADIANS('Hydrologie-Méthode rationnelle'!$C$23)))) * 6371)</f>
        <v/>
      </c>
    </row>
    <row r="355" spans="5:5">
      <c r="E355" s="263" t="str">
        <f>IF(OR(G355="",H355=""),"",ACOS((SIN(RADIANS(G355)) * SIN(RADIANS('Hydrologie-Méthode rationnelle'!$C$22))) + (COS(RADIANS(G355)) * COS(RADIANS('Hydrologie-Méthode rationnelle'!$C$22))) * (COS(RADIANS(H355) - RADIANS('Hydrologie-Méthode rationnelle'!$C$23)))) * 6371)</f>
        <v/>
      </c>
    </row>
    <row r="356" spans="5:5">
      <c r="E356" s="263" t="str">
        <f>IF(OR(G356="",H356=""),"",ACOS((SIN(RADIANS(G356)) * SIN(RADIANS('Hydrologie-Méthode rationnelle'!$C$22))) + (COS(RADIANS(G356)) * COS(RADIANS('Hydrologie-Méthode rationnelle'!$C$22))) * (COS(RADIANS(H356) - RADIANS('Hydrologie-Méthode rationnelle'!$C$23)))) * 6371)</f>
        <v/>
      </c>
    </row>
    <row r="357" spans="5:5">
      <c r="E357" s="263" t="str">
        <f>IF(OR(G357="",H357=""),"",ACOS((SIN(RADIANS(G357)) * SIN(RADIANS('Hydrologie-Méthode rationnelle'!$C$22))) + (COS(RADIANS(G357)) * COS(RADIANS('Hydrologie-Méthode rationnelle'!$C$22))) * (COS(RADIANS(H357) - RADIANS('Hydrologie-Méthode rationnelle'!$C$23)))) * 6371)</f>
        <v/>
      </c>
    </row>
    <row r="358" spans="5:5">
      <c r="E358" s="263" t="str">
        <f>IF(OR(G358="",H358=""),"",ACOS((SIN(RADIANS(G358)) * SIN(RADIANS('Hydrologie-Méthode rationnelle'!$C$22))) + (COS(RADIANS(G358)) * COS(RADIANS('Hydrologie-Méthode rationnelle'!$C$22))) * (COS(RADIANS(H358) - RADIANS('Hydrologie-Méthode rationnelle'!$C$23)))) * 6371)</f>
        <v/>
      </c>
    </row>
    <row r="359" spans="5:5">
      <c r="E359" s="263" t="str">
        <f>IF(OR(G359="",H359=""),"",ACOS((SIN(RADIANS(G359)) * SIN(RADIANS('Hydrologie-Méthode rationnelle'!$C$22))) + (COS(RADIANS(G359)) * COS(RADIANS('Hydrologie-Méthode rationnelle'!$C$22))) * (COS(RADIANS(H359) - RADIANS('Hydrologie-Méthode rationnelle'!$C$23)))) * 6371)</f>
        <v/>
      </c>
    </row>
    <row r="360" spans="5:5">
      <c r="E360" s="263" t="str">
        <f>IF(OR(G360="",H360=""),"",ACOS((SIN(RADIANS(G360)) * SIN(RADIANS('Hydrologie-Méthode rationnelle'!$C$22))) + (COS(RADIANS(G360)) * COS(RADIANS('Hydrologie-Méthode rationnelle'!$C$22))) * (COS(RADIANS(H360) - RADIANS('Hydrologie-Méthode rationnelle'!$C$23)))) * 6371)</f>
        <v/>
      </c>
    </row>
    <row r="361" spans="5:5">
      <c r="E361" s="263" t="str">
        <f>IF(OR(G361="",H361=""),"",ACOS((SIN(RADIANS(G361)) * SIN(RADIANS('Hydrologie-Méthode rationnelle'!$C$22))) + (COS(RADIANS(G361)) * COS(RADIANS('Hydrologie-Méthode rationnelle'!$C$22))) * (COS(RADIANS(H361) - RADIANS('Hydrologie-Méthode rationnelle'!$C$23)))) * 6371)</f>
        <v/>
      </c>
    </row>
    <row r="362" spans="5:5">
      <c r="E362" s="263" t="str">
        <f>IF(OR(G362="",H362=""),"",ACOS((SIN(RADIANS(G362)) * SIN(RADIANS('Hydrologie-Méthode rationnelle'!$C$22))) + (COS(RADIANS(G362)) * COS(RADIANS('Hydrologie-Méthode rationnelle'!$C$22))) * (COS(RADIANS(H362) - RADIANS('Hydrologie-Méthode rationnelle'!$C$23)))) * 6371)</f>
        <v/>
      </c>
    </row>
    <row r="363" spans="5:5">
      <c r="E363" s="263" t="str">
        <f>IF(OR(G363="",H363=""),"",ACOS((SIN(RADIANS(G363)) * SIN(RADIANS('Hydrologie-Méthode rationnelle'!$C$22))) + (COS(RADIANS(G363)) * COS(RADIANS('Hydrologie-Méthode rationnelle'!$C$22))) * (COS(RADIANS(H363) - RADIANS('Hydrologie-Méthode rationnelle'!$C$23)))) * 6371)</f>
        <v/>
      </c>
    </row>
    <row r="364" spans="5:5">
      <c r="E364" s="263" t="str">
        <f>IF(OR(G364="",H364=""),"",ACOS((SIN(RADIANS(G364)) * SIN(RADIANS('Hydrologie-Méthode rationnelle'!$C$22))) + (COS(RADIANS(G364)) * COS(RADIANS('Hydrologie-Méthode rationnelle'!$C$22))) * (COS(RADIANS(H364) - RADIANS('Hydrologie-Méthode rationnelle'!$C$23)))) * 6371)</f>
        <v/>
      </c>
    </row>
    <row r="365" spans="5:5">
      <c r="E365" s="263" t="str">
        <f>IF(OR(G365="",H365=""),"",ACOS((SIN(RADIANS(G365)) * SIN(RADIANS('Hydrologie-Méthode rationnelle'!$C$22))) + (COS(RADIANS(G365)) * COS(RADIANS('Hydrologie-Méthode rationnelle'!$C$22))) * (COS(RADIANS(H365) - RADIANS('Hydrologie-Méthode rationnelle'!$C$23)))) * 6371)</f>
        <v/>
      </c>
    </row>
    <row r="366" spans="5:5">
      <c r="E366" s="263" t="str">
        <f>IF(OR(G366="",H366=""),"",ACOS((SIN(RADIANS(G366)) * SIN(RADIANS('Hydrologie-Méthode rationnelle'!$C$22))) + (COS(RADIANS(G366)) * COS(RADIANS('Hydrologie-Méthode rationnelle'!$C$22))) * (COS(RADIANS(H366) - RADIANS('Hydrologie-Méthode rationnelle'!$C$23)))) * 6371)</f>
        <v/>
      </c>
    </row>
    <row r="367" spans="5:5">
      <c r="E367" s="263" t="str">
        <f>IF(OR(G367="",H367=""),"",ACOS((SIN(RADIANS(G367)) * SIN(RADIANS('Hydrologie-Méthode rationnelle'!$C$22))) + (COS(RADIANS(G367)) * COS(RADIANS('Hydrologie-Méthode rationnelle'!$C$22))) * (COS(RADIANS(H367) - RADIANS('Hydrologie-Méthode rationnelle'!$C$23)))) * 6371)</f>
        <v/>
      </c>
    </row>
    <row r="368" spans="5:5">
      <c r="E368" s="263" t="str">
        <f>IF(OR(G368="",H368=""),"",ACOS((SIN(RADIANS(G368)) * SIN(RADIANS('Hydrologie-Méthode rationnelle'!$C$22))) + (COS(RADIANS(G368)) * COS(RADIANS('Hydrologie-Méthode rationnelle'!$C$22))) * (COS(RADIANS(H368) - RADIANS('Hydrologie-Méthode rationnelle'!$C$23)))) * 6371)</f>
        <v/>
      </c>
    </row>
    <row r="369" spans="5:5">
      <c r="E369" s="263" t="str">
        <f>IF(OR(G369="",H369=""),"",ACOS((SIN(RADIANS(G369)) * SIN(RADIANS('Hydrologie-Méthode rationnelle'!$C$22))) + (COS(RADIANS(G369)) * COS(RADIANS('Hydrologie-Méthode rationnelle'!$C$22))) * (COS(RADIANS(H369) - RADIANS('Hydrologie-Méthode rationnelle'!$C$23)))) * 6371)</f>
        <v/>
      </c>
    </row>
    <row r="370" spans="5:5">
      <c r="E370" s="263" t="str">
        <f>IF(OR(G370="",H370=""),"",ACOS((SIN(RADIANS(G370)) * SIN(RADIANS('Hydrologie-Méthode rationnelle'!$C$22))) + (COS(RADIANS(G370)) * COS(RADIANS('Hydrologie-Méthode rationnelle'!$C$22))) * (COS(RADIANS(H370) - RADIANS('Hydrologie-Méthode rationnelle'!$C$23)))) * 6371)</f>
        <v/>
      </c>
    </row>
    <row r="371" spans="5:5">
      <c r="E371" s="263" t="str">
        <f>IF(OR(G371="",H371=""),"",ACOS((SIN(RADIANS(G371)) * SIN(RADIANS('Hydrologie-Méthode rationnelle'!$C$22))) + (COS(RADIANS(G371)) * COS(RADIANS('Hydrologie-Méthode rationnelle'!$C$22))) * (COS(RADIANS(H371) - RADIANS('Hydrologie-Méthode rationnelle'!$C$23)))) * 6371)</f>
        <v/>
      </c>
    </row>
    <row r="372" spans="5:5">
      <c r="E372" s="263" t="str">
        <f>IF(OR(G372="",H372=""),"",ACOS((SIN(RADIANS(G372)) * SIN(RADIANS('Hydrologie-Méthode rationnelle'!$C$22))) + (COS(RADIANS(G372)) * COS(RADIANS('Hydrologie-Méthode rationnelle'!$C$22))) * (COS(RADIANS(H372) - RADIANS('Hydrologie-Méthode rationnelle'!$C$23)))) * 6371)</f>
        <v/>
      </c>
    </row>
    <row r="373" spans="5:5">
      <c r="E373" s="263" t="str">
        <f>IF(OR(G373="",H373=""),"",ACOS((SIN(RADIANS(G373)) * SIN(RADIANS('Hydrologie-Méthode rationnelle'!$C$22))) + (COS(RADIANS(G373)) * COS(RADIANS('Hydrologie-Méthode rationnelle'!$C$22))) * (COS(RADIANS(H373) - RADIANS('Hydrologie-Méthode rationnelle'!$C$23)))) * 6371)</f>
        <v/>
      </c>
    </row>
    <row r="374" spans="5:5">
      <c r="E374" s="263" t="str">
        <f>IF(OR(G374="",H374=""),"",ACOS((SIN(RADIANS(G374)) * SIN(RADIANS('Hydrologie-Méthode rationnelle'!$C$22))) + (COS(RADIANS(G374)) * COS(RADIANS('Hydrologie-Méthode rationnelle'!$C$22))) * (COS(RADIANS(H374) - RADIANS('Hydrologie-Méthode rationnelle'!$C$23)))) * 6371)</f>
        <v/>
      </c>
    </row>
    <row r="375" spans="5:5">
      <c r="E375" s="263" t="str">
        <f>IF(OR(G375="",H375=""),"",ACOS((SIN(RADIANS(G375)) * SIN(RADIANS('Hydrologie-Méthode rationnelle'!$C$22))) + (COS(RADIANS(G375)) * COS(RADIANS('Hydrologie-Méthode rationnelle'!$C$22))) * (COS(RADIANS(H375) - RADIANS('Hydrologie-Méthode rationnelle'!$C$23)))) * 6371)</f>
        <v/>
      </c>
    </row>
    <row r="376" spans="5:5">
      <c r="E376" s="263" t="str">
        <f>IF(OR(G376="",H376=""),"",ACOS((SIN(RADIANS(G376)) * SIN(RADIANS('Hydrologie-Méthode rationnelle'!$C$22))) + (COS(RADIANS(G376)) * COS(RADIANS('Hydrologie-Méthode rationnelle'!$C$22))) * (COS(RADIANS(H376) - RADIANS('Hydrologie-Méthode rationnelle'!$C$23)))) * 6371)</f>
        <v/>
      </c>
    </row>
    <row r="377" spans="5:5">
      <c r="E377" s="263" t="str">
        <f>IF(OR(G377="",H377=""),"",ACOS((SIN(RADIANS(G377)) * SIN(RADIANS('Hydrologie-Méthode rationnelle'!$C$22))) + (COS(RADIANS(G377)) * COS(RADIANS('Hydrologie-Méthode rationnelle'!$C$22))) * (COS(RADIANS(H377) - RADIANS('Hydrologie-Méthode rationnelle'!$C$23)))) * 6371)</f>
        <v/>
      </c>
    </row>
    <row r="378" spans="5:5">
      <c r="E378" s="263" t="str">
        <f>IF(OR(G378="",H378=""),"",ACOS((SIN(RADIANS(G378)) * SIN(RADIANS('Hydrologie-Méthode rationnelle'!$C$22))) + (COS(RADIANS(G378)) * COS(RADIANS('Hydrologie-Méthode rationnelle'!$C$22))) * (COS(RADIANS(H378) - RADIANS('Hydrologie-Méthode rationnelle'!$C$23)))) * 6371)</f>
        <v/>
      </c>
    </row>
    <row r="379" spans="5:5">
      <c r="E379" s="263" t="str">
        <f>IF(OR(G379="",H379=""),"",ACOS((SIN(RADIANS(G379)) * SIN(RADIANS('Hydrologie-Méthode rationnelle'!$C$22))) + (COS(RADIANS(G379)) * COS(RADIANS('Hydrologie-Méthode rationnelle'!$C$22))) * (COS(RADIANS(H379) - RADIANS('Hydrologie-Méthode rationnelle'!$C$23)))) * 6371)</f>
        <v/>
      </c>
    </row>
    <row r="380" spans="5:5">
      <c r="E380" s="263" t="str">
        <f>IF(OR(G380="",H380=""),"",ACOS((SIN(RADIANS(G380)) * SIN(RADIANS('Hydrologie-Méthode rationnelle'!$C$22))) + (COS(RADIANS(G380)) * COS(RADIANS('Hydrologie-Méthode rationnelle'!$C$22))) * (COS(RADIANS(H380) - RADIANS('Hydrologie-Méthode rationnelle'!$C$23)))) * 6371)</f>
        <v/>
      </c>
    </row>
    <row r="381" spans="5:5">
      <c r="E381" s="263" t="str">
        <f>IF(OR(G381="",H381=""),"",ACOS((SIN(RADIANS(G381)) * SIN(RADIANS('Hydrologie-Méthode rationnelle'!$C$22))) + (COS(RADIANS(G381)) * COS(RADIANS('Hydrologie-Méthode rationnelle'!$C$22))) * (COS(RADIANS(H381) - RADIANS('Hydrologie-Méthode rationnelle'!$C$23)))) * 6371)</f>
        <v/>
      </c>
    </row>
    <row r="382" spans="5:5">
      <c r="E382" s="263" t="str">
        <f>IF(OR(G382="",H382=""),"",ACOS((SIN(RADIANS(G382)) * SIN(RADIANS('Hydrologie-Méthode rationnelle'!$C$22))) + (COS(RADIANS(G382)) * COS(RADIANS('Hydrologie-Méthode rationnelle'!$C$22))) * (COS(RADIANS(H382) - RADIANS('Hydrologie-Méthode rationnelle'!$C$23)))) * 6371)</f>
        <v/>
      </c>
    </row>
    <row r="383" spans="5:5">
      <c r="E383" s="263" t="str">
        <f>IF(OR(G383="",H383=""),"",ACOS((SIN(RADIANS(G383)) * SIN(RADIANS('Hydrologie-Méthode rationnelle'!$C$22))) + (COS(RADIANS(G383)) * COS(RADIANS('Hydrologie-Méthode rationnelle'!$C$22))) * (COS(RADIANS(H383) - RADIANS('Hydrologie-Méthode rationnelle'!$C$23)))) * 6371)</f>
        <v/>
      </c>
    </row>
    <row r="384" spans="5:5">
      <c r="E384" s="263" t="str">
        <f>IF(OR(G384="",H384=""),"",ACOS((SIN(RADIANS(G384)) * SIN(RADIANS('Hydrologie-Méthode rationnelle'!$C$22))) + (COS(RADIANS(G384)) * COS(RADIANS('Hydrologie-Méthode rationnelle'!$C$22))) * (COS(RADIANS(H384) - RADIANS('Hydrologie-Méthode rationnelle'!$C$23)))) * 6371)</f>
        <v/>
      </c>
    </row>
    <row r="385" spans="5:5">
      <c r="E385" s="263" t="str">
        <f>IF(OR(G385="",H385=""),"",ACOS((SIN(RADIANS(G385)) * SIN(RADIANS('Hydrologie-Méthode rationnelle'!$C$22))) + (COS(RADIANS(G385)) * COS(RADIANS('Hydrologie-Méthode rationnelle'!$C$22))) * (COS(RADIANS(H385) - RADIANS('Hydrologie-Méthode rationnelle'!$C$23)))) * 6371)</f>
        <v/>
      </c>
    </row>
    <row r="386" spans="5:5">
      <c r="E386" s="263" t="str">
        <f>IF(OR(G386="",H386=""),"",ACOS((SIN(RADIANS(G386)) * SIN(RADIANS('Hydrologie-Méthode rationnelle'!$C$22))) + (COS(RADIANS(G386)) * COS(RADIANS('Hydrologie-Méthode rationnelle'!$C$22))) * (COS(RADIANS(H386) - RADIANS('Hydrologie-Méthode rationnelle'!$C$23)))) * 6371)</f>
        <v/>
      </c>
    </row>
    <row r="387" spans="5:5">
      <c r="E387" s="263" t="str">
        <f>IF(OR(G387="",H387=""),"",ACOS((SIN(RADIANS(G387)) * SIN(RADIANS('Hydrologie-Méthode rationnelle'!$C$22))) + (COS(RADIANS(G387)) * COS(RADIANS('Hydrologie-Méthode rationnelle'!$C$22))) * (COS(RADIANS(H387) - RADIANS('Hydrologie-Méthode rationnelle'!$C$23)))) * 6371)</f>
        <v/>
      </c>
    </row>
    <row r="388" spans="5:5">
      <c r="E388" s="263" t="str">
        <f>IF(OR(G388="",H388=""),"",ACOS((SIN(RADIANS(G388)) * SIN(RADIANS('Hydrologie-Méthode rationnelle'!$C$22))) + (COS(RADIANS(G388)) * COS(RADIANS('Hydrologie-Méthode rationnelle'!$C$22))) * (COS(RADIANS(H388) - RADIANS('Hydrologie-Méthode rationnelle'!$C$23)))) * 6371)</f>
        <v/>
      </c>
    </row>
    <row r="389" spans="5:5">
      <c r="E389" s="263" t="str">
        <f>IF(OR(G389="",H389=""),"",ACOS((SIN(RADIANS(G389)) * SIN(RADIANS('Hydrologie-Méthode rationnelle'!$C$22))) + (COS(RADIANS(G389)) * COS(RADIANS('Hydrologie-Méthode rationnelle'!$C$22))) * (COS(RADIANS(H389) - RADIANS('Hydrologie-Méthode rationnelle'!$C$23)))) * 6371)</f>
        <v/>
      </c>
    </row>
    <row r="390" spans="5:5">
      <c r="E390" s="263" t="str">
        <f>IF(OR(G390="",H390=""),"",ACOS((SIN(RADIANS(G390)) * SIN(RADIANS('Hydrologie-Méthode rationnelle'!$C$22))) + (COS(RADIANS(G390)) * COS(RADIANS('Hydrologie-Méthode rationnelle'!$C$22))) * (COS(RADIANS(H390) - RADIANS('Hydrologie-Méthode rationnelle'!$C$23)))) * 6371)</f>
        <v/>
      </c>
    </row>
    <row r="391" spans="5:5">
      <c r="E391" s="263" t="str">
        <f>IF(OR(G391="",H391=""),"",ACOS((SIN(RADIANS(G391)) * SIN(RADIANS('Hydrologie-Méthode rationnelle'!$C$22))) + (COS(RADIANS(G391)) * COS(RADIANS('Hydrologie-Méthode rationnelle'!$C$22))) * (COS(RADIANS(H391) - RADIANS('Hydrologie-Méthode rationnelle'!$C$23)))) * 6371)</f>
        <v/>
      </c>
    </row>
    <row r="392" spans="5:5">
      <c r="E392" s="263" t="str">
        <f>IF(OR(G392="",H392=""),"",ACOS((SIN(RADIANS(G392)) * SIN(RADIANS('Hydrologie-Méthode rationnelle'!$C$22))) + (COS(RADIANS(G392)) * COS(RADIANS('Hydrologie-Méthode rationnelle'!$C$22))) * (COS(RADIANS(H392) - RADIANS('Hydrologie-Méthode rationnelle'!$C$23)))) * 6371)</f>
        <v/>
      </c>
    </row>
    <row r="393" spans="5:5">
      <c r="E393" s="263" t="str">
        <f>IF(OR(G393="",H393=""),"",ACOS((SIN(RADIANS(G393)) * SIN(RADIANS('Hydrologie-Méthode rationnelle'!$C$22))) + (COS(RADIANS(G393)) * COS(RADIANS('Hydrologie-Méthode rationnelle'!$C$22))) * (COS(RADIANS(H393) - RADIANS('Hydrologie-Méthode rationnelle'!$C$23)))) * 6371)</f>
        <v/>
      </c>
    </row>
    <row r="394" spans="5:5">
      <c r="E394" s="263" t="str">
        <f>IF(OR(G394="",H394=""),"",ACOS((SIN(RADIANS(G394)) * SIN(RADIANS('Hydrologie-Méthode rationnelle'!$C$22))) + (COS(RADIANS(G394)) * COS(RADIANS('Hydrologie-Méthode rationnelle'!$C$22))) * (COS(RADIANS(H394) - RADIANS('Hydrologie-Méthode rationnelle'!$C$23)))) * 6371)</f>
        <v/>
      </c>
    </row>
    <row r="395" spans="5:5">
      <c r="E395" s="263" t="str">
        <f>IF(OR(G395="",H395=""),"",ACOS((SIN(RADIANS(G395)) * SIN(RADIANS('Hydrologie-Méthode rationnelle'!$C$22))) + (COS(RADIANS(G395)) * COS(RADIANS('Hydrologie-Méthode rationnelle'!$C$22))) * (COS(RADIANS(H395) - RADIANS('Hydrologie-Méthode rationnelle'!$C$23)))) * 6371)</f>
        <v/>
      </c>
    </row>
    <row r="396" spans="5:5">
      <c r="E396" s="263" t="str">
        <f>IF(OR(G396="",H396=""),"",ACOS((SIN(RADIANS(G396)) * SIN(RADIANS('Hydrologie-Méthode rationnelle'!$C$22))) + (COS(RADIANS(G396)) * COS(RADIANS('Hydrologie-Méthode rationnelle'!$C$22))) * (COS(RADIANS(H396) - RADIANS('Hydrologie-Méthode rationnelle'!$C$23)))) * 6371)</f>
        <v/>
      </c>
    </row>
    <row r="397" spans="5:5">
      <c r="E397" s="263" t="str">
        <f>IF(OR(G397="",H397=""),"",ACOS((SIN(RADIANS(G397)) * SIN(RADIANS('Hydrologie-Méthode rationnelle'!$C$22))) + (COS(RADIANS(G397)) * COS(RADIANS('Hydrologie-Méthode rationnelle'!$C$22))) * (COS(RADIANS(H397) - RADIANS('Hydrologie-Méthode rationnelle'!$C$23)))) * 6371)</f>
        <v/>
      </c>
    </row>
    <row r="398" spans="5:5">
      <c r="E398" s="263" t="str">
        <f>IF(OR(G398="",H398=""),"",ACOS((SIN(RADIANS(G398)) * SIN(RADIANS('Hydrologie-Méthode rationnelle'!$C$22))) + (COS(RADIANS(G398)) * COS(RADIANS('Hydrologie-Méthode rationnelle'!$C$22))) * (COS(RADIANS(H398) - RADIANS('Hydrologie-Méthode rationnelle'!$C$23)))) * 6371)</f>
        <v/>
      </c>
    </row>
    <row r="399" spans="5:5">
      <c r="E399" s="263" t="str">
        <f>IF(OR(G399="",H399=""),"",ACOS((SIN(RADIANS(G399)) * SIN(RADIANS('Hydrologie-Méthode rationnelle'!$C$22))) + (COS(RADIANS(G399)) * COS(RADIANS('Hydrologie-Méthode rationnelle'!$C$22))) * (COS(RADIANS(H399) - RADIANS('Hydrologie-Méthode rationnelle'!$C$23)))) * 6371)</f>
        <v/>
      </c>
    </row>
    <row r="400" spans="5:5">
      <c r="E400" s="263" t="str">
        <f>IF(OR(G400="",H400=""),"",ACOS((SIN(RADIANS(G400)) * SIN(RADIANS('Hydrologie-Méthode rationnelle'!$C$22))) + (COS(RADIANS(G400)) * COS(RADIANS('Hydrologie-Méthode rationnelle'!$C$22))) * (COS(RADIANS(H400) - RADIANS('Hydrologie-Méthode rationnelle'!$C$23)))) * 6371)</f>
        <v/>
      </c>
    </row>
    <row r="401" spans="2:5">
      <c r="E401" s="263" t="str">
        <f>IF(OR(G401="",H401=""),"",ACOS((SIN(RADIANS(G401)) * SIN(RADIANS('Hydrologie-Méthode rationnelle'!$C$22))) + (COS(RADIANS(G401)) * COS(RADIANS('Hydrologie-Méthode rationnelle'!$C$22))) * (COS(RADIANS(H401) - RADIANS('Hydrologie-Méthode rationnelle'!$C$23)))) * 6371)</f>
        <v/>
      </c>
    </row>
    <row r="402" spans="2:5">
      <c r="E402" s="263" t="str">
        <f>IF(OR(G402="",H402=""),"",ACOS((SIN(RADIANS(G402)) * SIN(RADIANS('Hydrologie-Méthode rationnelle'!$C$22))) + (COS(RADIANS(G402)) * COS(RADIANS('Hydrologie-Méthode rationnelle'!$C$22))) * (COS(RADIANS(H402) - RADIANS('Hydrologie-Méthode rationnelle'!$C$23)))) * 6371)</f>
        <v/>
      </c>
    </row>
    <row r="403" spans="2:5">
      <c r="E403" s="263" t="str">
        <f>IF(OR(G403="",H403=""),"",ACOS((SIN(RADIANS(G403)) * SIN(RADIANS('Hydrologie-Méthode rationnelle'!$C$22))) + (COS(RADIANS(G403)) * COS(RADIANS('Hydrologie-Méthode rationnelle'!$C$22))) * (COS(RADIANS(H403) - RADIANS('Hydrologie-Méthode rationnelle'!$C$23)))) * 6371)</f>
        <v/>
      </c>
    </row>
    <row r="404" spans="2:5">
      <c r="E404" s="263" t="str">
        <f>IF(OR(G404="",H404=""),"",ACOS((SIN(RADIANS(G404)) * SIN(RADIANS('Hydrologie-Méthode rationnelle'!$C$22))) + (COS(RADIANS(G404)) * COS(RADIANS('Hydrologie-Méthode rationnelle'!$C$22))) * (COS(RADIANS(H404) - RADIANS('Hydrologie-Méthode rationnelle'!$C$23)))) * 6371)</f>
        <v/>
      </c>
    </row>
    <row r="405" spans="2:5">
      <c r="E405" s="263" t="str">
        <f>IF(OR(G405="",H405=""),"",ACOS((SIN(RADIANS(G405)) * SIN(RADIANS('Hydrologie-Méthode rationnelle'!$C$22))) + (COS(RADIANS(G405)) * COS(RADIANS('Hydrologie-Méthode rationnelle'!$C$22))) * (COS(RADIANS(H405) - RADIANS('Hydrologie-Méthode rationnelle'!$C$23)))) * 6371)</f>
        <v/>
      </c>
    </row>
    <row r="406" spans="2:5">
      <c r="E406" s="263" t="str">
        <f>IF(OR(G406="",H406=""),"",ACOS((SIN(RADIANS(G406)) * SIN(RADIANS('Hydrologie-Méthode rationnelle'!$C$22))) + (COS(RADIANS(G406)) * COS(RADIANS('Hydrologie-Méthode rationnelle'!$C$22))) * (COS(RADIANS(H406) - RADIANS('Hydrologie-Méthode rationnelle'!$C$23)))) * 6371)</f>
        <v/>
      </c>
    </row>
    <row r="407" spans="2:5">
      <c r="B407" s="294"/>
      <c r="E407" s="263" t="str">
        <f>IF(OR(G407="",H407=""),"",ACOS((SIN(RADIANS(G407)) * SIN(RADIANS('Hydrologie-Méthode rationnelle'!$C$22))) + (COS(RADIANS(G407)) * COS(RADIANS('Hydrologie-Méthode rationnelle'!$C$22))) * (COS(RADIANS(H407) - RADIANS('Hydrologie-Méthode rationnelle'!$C$23)))) * 6371)</f>
        <v/>
      </c>
    </row>
    <row r="408" spans="2:5">
      <c r="E408" s="263" t="str">
        <f>IF(OR(G408="",H408=""),"",ACOS((SIN(RADIANS(G408)) * SIN(RADIANS('Hydrologie-Méthode rationnelle'!$C$22))) + (COS(RADIANS(G408)) * COS(RADIANS('Hydrologie-Méthode rationnelle'!$C$22))) * (COS(RADIANS(H408) - RADIANS('Hydrologie-Méthode rationnelle'!$C$23)))) * 6371)</f>
        <v/>
      </c>
    </row>
    <row r="409" spans="2:5">
      <c r="E409" s="263" t="str">
        <f>IF(OR(G409="",H409=""),"",ACOS((SIN(RADIANS(G409)) * SIN(RADIANS('Hydrologie-Méthode rationnelle'!$C$22))) + (COS(RADIANS(G409)) * COS(RADIANS('Hydrologie-Méthode rationnelle'!$C$22))) * (COS(RADIANS(H409) - RADIANS('Hydrologie-Méthode rationnelle'!$C$23)))) * 6371)</f>
        <v/>
      </c>
    </row>
    <row r="410" spans="2:5">
      <c r="E410" s="263" t="str">
        <f>IF(OR(G410="",H410=""),"",ACOS((SIN(RADIANS(G410)) * SIN(RADIANS('Hydrologie-Méthode rationnelle'!$C$22))) + (COS(RADIANS(G410)) * COS(RADIANS('Hydrologie-Méthode rationnelle'!$C$22))) * (COS(RADIANS(H410) - RADIANS('Hydrologie-Méthode rationnelle'!$C$23)))) * 6371)</f>
        <v/>
      </c>
    </row>
    <row r="411" spans="2:5">
      <c r="E411" s="263" t="str">
        <f>IF(OR(G411="",H411=""),"",ACOS((SIN(RADIANS(G411)) * SIN(RADIANS('Hydrologie-Méthode rationnelle'!$C$22))) + (COS(RADIANS(G411)) * COS(RADIANS('Hydrologie-Méthode rationnelle'!$C$22))) * (COS(RADIANS(H411) - RADIANS('Hydrologie-Méthode rationnelle'!$C$23)))) * 6371)</f>
        <v/>
      </c>
    </row>
    <row r="412" spans="2:5">
      <c r="E412" s="263" t="str">
        <f>IF(OR(G412="",H412=""),"",ACOS((SIN(RADIANS(G412)) * SIN(RADIANS('Hydrologie-Méthode rationnelle'!$C$22))) + (COS(RADIANS(G412)) * COS(RADIANS('Hydrologie-Méthode rationnelle'!$C$22))) * (COS(RADIANS(H412) - RADIANS('Hydrologie-Méthode rationnelle'!$C$23)))) * 6371)</f>
        <v/>
      </c>
    </row>
    <row r="413" spans="2:5">
      <c r="E413" s="263" t="str">
        <f>IF(OR(G413="",H413=""),"",ACOS((SIN(RADIANS(G413)) * SIN(RADIANS('Hydrologie-Méthode rationnelle'!$C$22))) + (COS(RADIANS(G413)) * COS(RADIANS('Hydrologie-Méthode rationnelle'!$C$22))) * (COS(RADIANS(H413) - RADIANS('Hydrologie-Méthode rationnelle'!$C$23)))) * 6371)</f>
        <v/>
      </c>
    </row>
    <row r="414" spans="2:5">
      <c r="E414" s="263" t="str">
        <f>IF(OR(G414="",H414=""),"",ACOS((SIN(RADIANS(G414)) * SIN(RADIANS('Hydrologie-Méthode rationnelle'!$C$22))) + (COS(RADIANS(G414)) * COS(RADIANS('Hydrologie-Méthode rationnelle'!$C$22))) * (COS(RADIANS(H414) - RADIANS('Hydrologie-Méthode rationnelle'!$C$23)))) * 6371)</f>
        <v/>
      </c>
    </row>
    <row r="415" spans="2:5">
      <c r="E415" s="263" t="str">
        <f>IF(OR(G415="",H415=""),"",ACOS((SIN(RADIANS(G415)) * SIN(RADIANS('Hydrologie-Méthode rationnelle'!$C$22))) + (COS(RADIANS(G415)) * COS(RADIANS('Hydrologie-Méthode rationnelle'!$C$22))) * (COS(RADIANS(H415) - RADIANS('Hydrologie-Méthode rationnelle'!$C$23)))) * 6371)</f>
        <v/>
      </c>
    </row>
    <row r="416" spans="2:5">
      <c r="E416" s="263" t="str">
        <f>IF(OR(G416="",H416=""),"",ACOS((SIN(RADIANS(G416)) * SIN(RADIANS('Hydrologie-Méthode rationnelle'!$C$22))) + (COS(RADIANS(G416)) * COS(RADIANS('Hydrologie-Méthode rationnelle'!$C$22))) * (COS(RADIANS(H416) - RADIANS('Hydrologie-Méthode rationnelle'!$C$23)))) * 6371)</f>
        <v/>
      </c>
    </row>
    <row r="417" spans="5:5">
      <c r="E417" s="263" t="str">
        <f>IF(OR(G417="",H417=""),"",ACOS((SIN(RADIANS(G417)) * SIN(RADIANS('Hydrologie-Méthode rationnelle'!$C$22))) + (COS(RADIANS(G417)) * COS(RADIANS('Hydrologie-Méthode rationnelle'!$C$22))) * (COS(RADIANS(H417) - RADIANS('Hydrologie-Méthode rationnelle'!$C$23)))) * 6371)</f>
        <v/>
      </c>
    </row>
    <row r="418" spans="5:5">
      <c r="E418" s="263" t="str">
        <f>IF(OR(G418="",H418=""),"",ACOS((SIN(RADIANS(G418)) * SIN(RADIANS('Hydrologie-Méthode rationnelle'!$C$22))) + (COS(RADIANS(G418)) * COS(RADIANS('Hydrologie-Méthode rationnelle'!$C$22))) * (COS(RADIANS(H418) - RADIANS('Hydrologie-Méthode rationnelle'!$C$23)))) * 6371)</f>
        <v/>
      </c>
    </row>
    <row r="419" spans="5:5">
      <c r="E419" s="263" t="str">
        <f>IF(OR(G419="",H419=""),"",ACOS((SIN(RADIANS(G419)) * SIN(RADIANS('Hydrologie-Méthode rationnelle'!$C$22))) + (COS(RADIANS(G419)) * COS(RADIANS('Hydrologie-Méthode rationnelle'!$C$22))) * (COS(RADIANS(H419) - RADIANS('Hydrologie-Méthode rationnelle'!$C$23)))) * 6371)</f>
        <v/>
      </c>
    </row>
    <row r="420" spans="5:5">
      <c r="E420" s="263" t="str">
        <f>IF(OR(G420="",H420=""),"",ACOS((SIN(RADIANS(G420)) * SIN(RADIANS('Hydrologie-Méthode rationnelle'!$C$22))) + (COS(RADIANS(G420)) * COS(RADIANS('Hydrologie-Méthode rationnelle'!$C$22))) * (COS(RADIANS(H420) - RADIANS('Hydrologie-Méthode rationnelle'!$C$23)))) * 6371)</f>
        <v/>
      </c>
    </row>
    <row r="421" spans="5:5">
      <c r="E421" s="263" t="str">
        <f>IF(OR(G421="",H421=""),"",ACOS((SIN(RADIANS(G421)) * SIN(RADIANS('Hydrologie-Méthode rationnelle'!$C$22))) + (COS(RADIANS(G421)) * COS(RADIANS('Hydrologie-Méthode rationnelle'!$C$22))) * (COS(RADIANS(H421) - RADIANS('Hydrologie-Méthode rationnelle'!$C$23)))) * 6371)</f>
        <v/>
      </c>
    </row>
    <row r="422" spans="5:5">
      <c r="E422" s="263" t="str">
        <f>IF(OR(G422="",H422=""),"",ACOS((SIN(RADIANS(G422)) * SIN(RADIANS('Hydrologie-Méthode rationnelle'!$C$22))) + (COS(RADIANS(G422)) * COS(RADIANS('Hydrologie-Méthode rationnelle'!$C$22))) * (COS(RADIANS(H422) - RADIANS('Hydrologie-Méthode rationnelle'!$C$23)))) * 6371)</f>
        <v/>
      </c>
    </row>
    <row r="423" spans="5:5">
      <c r="E423" s="263" t="str">
        <f>IF(OR(G423="",H423=""),"",ACOS((SIN(RADIANS(G423)) * SIN(RADIANS('Hydrologie-Méthode rationnelle'!$C$22))) + (COS(RADIANS(G423)) * COS(RADIANS('Hydrologie-Méthode rationnelle'!$C$22))) * (COS(RADIANS(H423) - RADIANS('Hydrologie-Méthode rationnelle'!$C$23)))) * 6371)</f>
        <v/>
      </c>
    </row>
    <row r="424" spans="5:5">
      <c r="E424" s="263" t="str">
        <f>IF(OR(G424="",H424=""),"",ACOS((SIN(RADIANS(G424)) * SIN(RADIANS('Hydrologie-Méthode rationnelle'!$C$22))) + (COS(RADIANS(G424)) * COS(RADIANS('Hydrologie-Méthode rationnelle'!$C$22))) * (COS(RADIANS(H424) - RADIANS('Hydrologie-Méthode rationnelle'!$C$23)))) * 6371)</f>
        <v/>
      </c>
    </row>
    <row r="425" spans="5:5">
      <c r="E425" s="263" t="str">
        <f>IF(OR(G425="",H425=""),"",ACOS((SIN(RADIANS(G425)) * SIN(RADIANS('Hydrologie-Méthode rationnelle'!$C$22))) + (COS(RADIANS(G425)) * COS(RADIANS('Hydrologie-Méthode rationnelle'!$C$22))) * (COS(RADIANS(H425) - RADIANS('Hydrologie-Méthode rationnelle'!$C$23)))) * 6371)</f>
        <v/>
      </c>
    </row>
    <row r="426" spans="5:5">
      <c r="E426" s="263" t="str">
        <f>IF(OR(G426="",H426=""),"",ACOS((SIN(RADIANS(G426)) * SIN(RADIANS('Hydrologie-Méthode rationnelle'!$C$22))) + (COS(RADIANS(G426)) * COS(RADIANS('Hydrologie-Méthode rationnelle'!$C$22))) * (COS(RADIANS(H426) - RADIANS('Hydrologie-Méthode rationnelle'!$C$23)))) * 6371)</f>
        <v/>
      </c>
    </row>
    <row r="427" spans="5:5">
      <c r="E427" s="263" t="str">
        <f>IF(OR(G427="",H427=""),"",ACOS((SIN(RADIANS(G427)) * SIN(RADIANS('Hydrologie-Méthode rationnelle'!$C$22))) + (COS(RADIANS(G427)) * COS(RADIANS('Hydrologie-Méthode rationnelle'!$C$22))) * (COS(RADIANS(H427) - RADIANS('Hydrologie-Méthode rationnelle'!$C$23)))) * 6371)</f>
        <v/>
      </c>
    </row>
    <row r="428" spans="5:5">
      <c r="E428" s="263" t="str">
        <f>IF(OR(G428="",H428=""),"",ACOS((SIN(RADIANS(G428)) * SIN(RADIANS('Hydrologie-Méthode rationnelle'!$C$22))) + (COS(RADIANS(G428)) * COS(RADIANS('Hydrologie-Méthode rationnelle'!$C$22))) * (COS(RADIANS(H428) - RADIANS('Hydrologie-Méthode rationnelle'!$C$23)))) * 6371)</f>
        <v/>
      </c>
    </row>
    <row r="429" spans="5:5">
      <c r="E429" s="263" t="str">
        <f>IF(OR(G429="",H429=""),"",ACOS((SIN(RADIANS(G429)) * SIN(RADIANS('Hydrologie-Méthode rationnelle'!$C$22))) + (COS(RADIANS(G429)) * COS(RADIANS('Hydrologie-Méthode rationnelle'!$C$22))) * (COS(RADIANS(H429) - RADIANS('Hydrologie-Méthode rationnelle'!$C$23)))) * 6371)</f>
        <v/>
      </c>
    </row>
    <row r="430" spans="5:5">
      <c r="E430" s="263" t="str">
        <f>IF(OR(G430="",H430=""),"",ACOS((SIN(RADIANS(G430)) * SIN(RADIANS('Hydrologie-Méthode rationnelle'!$C$22))) + (COS(RADIANS(G430)) * COS(RADIANS('Hydrologie-Méthode rationnelle'!$C$22))) * (COS(RADIANS(H430) - RADIANS('Hydrologie-Méthode rationnelle'!$C$23)))) * 6371)</f>
        <v/>
      </c>
    </row>
    <row r="431" spans="5:5">
      <c r="E431" s="263" t="str">
        <f>IF(OR(G431="",H431=""),"",ACOS((SIN(RADIANS(G431)) * SIN(RADIANS('Hydrologie-Méthode rationnelle'!$C$22))) + (COS(RADIANS(G431)) * COS(RADIANS('Hydrologie-Méthode rationnelle'!$C$22))) * (COS(RADIANS(H431) - RADIANS('Hydrologie-Méthode rationnelle'!$C$23)))) * 6371)</f>
        <v/>
      </c>
    </row>
    <row r="432" spans="5:5">
      <c r="E432" s="263" t="str">
        <f>IF(OR(G432="",H432=""),"",ACOS((SIN(RADIANS(G432)) * SIN(RADIANS('Hydrologie-Méthode rationnelle'!$C$22))) + (COS(RADIANS(G432)) * COS(RADIANS('Hydrologie-Méthode rationnelle'!$C$22))) * (COS(RADIANS(H432) - RADIANS('Hydrologie-Méthode rationnelle'!$C$23)))) * 6371)</f>
        <v/>
      </c>
    </row>
    <row r="433" spans="5:5">
      <c r="E433" s="263" t="str">
        <f>IF(OR(G433="",H433=""),"",ACOS((SIN(RADIANS(G433)) * SIN(RADIANS('Hydrologie-Méthode rationnelle'!$C$22))) + (COS(RADIANS(G433)) * COS(RADIANS('Hydrologie-Méthode rationnelle'!$C$22))) * (COS(RADIANS(H433) - RADIANS('Hydrologie-Méthode rationnelle'!$C$23)))) * 6371)</f>
        <v/>
      </c>
    </row>
    <row r="434" spans="5:5">
      <c r="E434" s="263" t="str">
        <f>IF(OR(G434="",H434=""),"",ACOS((SIN(RADIANS(G434)) * SIN(RADIANS('Hydrologie-Méthode rationnelle'!$C$22))) + (COS(RADIANS(G434)) * COS(RADIANS('Hydrologie-Méthode rationnelle'!$C$22))) * (COS(RADIANS(H434) - RADIANS('Hydrologie-Méthode rationnelle'!$C$23)))) * 6371)</f>
        <v/>
      </c>
    </row>
    <row r="435" spans="5:5">
      <c r="E435" s="263" t="str">
        <f>IF(OR(G435="",H435=""),"",ACOS((SIN(RADIANS(G435)) * SIN(RADIANS('Hydrologie-Méthode rationnelle'!$C$22))) + (COS(RADIANS(G435)) * COS(RADIANS('Hydrologie-Méthode rationnelle'!$C$22))) * (COS(RADIANS(H435) - RADIANS('Hydrologie-Méthode rationnelle'!$C$23)))) * 6371)</f>
        <v/>
      </c>
    </row>
    <row r="436" spans="5:5">
      <c r="E436" s="263" t="str">
        <f>IF(OR(G436="",H436=""),"",ACOS((SIN(RADIANS(G436)) * SIN(RADIANS('Hydrologie-Méthode rationnelle'!$C$22))) + (COS(RADIANS(G436)) * COS(RADIANS('Hydrologie-Méthode rationnelle'!$C$22))) * (COS(RADIANS(H436) - RADIANS('Hydrologie-Méthode rationnelle'!$C$23)))) * 6371)</f>
        <v/>
      </c>
    </row>
    <row r="437" spans="5:5">
      <c r="E437" s="263" t="str">
        <f>IF(OR(G437="",H437=""),"",ACOS((SIN(RADIANS(G437)) * SIN(RADIANS('Hydrologie-Méthode rationnelle'!$C$22))) + (COS(RADIANS(G437)) * COS(RADIANS('Hydrologie-Méthode rationnelle'!$C$22))) * (COS(RADIANS(H437) - RADIANS('Hydrologie-Méthode rationnelle'!$C$23)))) * 6371)</f>
        <v/>
      </c>
    </row>
    <row r="438" spans="5:5">
      <c r="E438" s="263" t="str">
        <f>IF(OR(G438="",H438=""),"",ACOS((SIN(RADIANS(G438)) * SIN(RADIANS('Hydrologie-Méthode rationnelle'!$C$22))) + (COS(RADIANS(G438)) * COS(RADIANS('Hydrologie-Méthode rationnelle'!$C$22))) * (COS(RADIANS(H438) - RADIANS('Hydrologie-Méthode rationnelle'!$C$23)))) * 6371)</f>
        <v/>
      </c>
    </row>
    <row r="439" spans="5:5">
      <c r="E439" s="263" t="str">
        <f>IF(OR(G439="",H439=""),"",ACOS((SIN(RADIANS(G439)) * SIN(RADIANS('Hydrologie-Méthode rationnelle'!$C$22))) + (COS(RADIANS(G439)) * COS(RADIANS('Hydrologie-Méthode rationnelle'!$C$22))) * (COS(RADIANS(H439) - RADIANS('Hydrologie-Méthode rationnelle'!$C$23)))) * 6371)</f>
        <v/>
      </c>
    </row>
    <row r="440" spans="5:5">
      <c r="E440" s="263" t="str">
        <f>IF(OR(G440="",H440=""),"",ACOS((SIN(RADIANS(G440)) * SIN(RADIANS('Hydrologie-Méthode rationnelle'!$C$22))) + (COS(RADIANS(G440)) * COS(RADIANS('Hydrologie-Méthode rationnelle'!$C$22))) * (COS(RADIANS(H440) - RADIANS('Hydrologie-Méthode rationnelle'!$C$23)))) * 6371)</f>
        <v/>
      </c>
    </row>
    <row r="441" spans="5:5">
      <c r="E441" s="263" t="str">
        <f>IF(OR(G441="",H441=""),"",ACOS((SIN(RADIANS(G441)) * SIN(RADIANS('Hydrologie-Méthode rationnelle'!$C$22))) + (COS(RADIANS(G441)) * COS(RADIANS('Hydrologie-Méthode rationnelle'!$C$22))) * (COS(RADIANS(H441) - RADIANS('Hydrologie-Méthode rationnelle'!$C$23)))) * 6371)</f>
        <v/>
      </c>
    </row>
    <row r="442" spans="5:5">
      <c r="E442" s="263" t="str">
        <f>IF(OR(G442="",H442=""),"",ACOS((SIN(RADIANS(G442)) * SIN(RADIANS('Hydrologie-Méthode rationnelle'!$C$22))) + (COS(RADIANS(G442)) * COS(RADIANS('Hydrologie-Méthode rationnelle'!$C$22))) * (COS(RADIANS(H442) - RADIANS('Hydrologie-Méthode rationnelle'!$C$23)))) * 6371)</f>
        <v/>
      </c>
    </row>
    <row r="443" spans="5:5">
      <c r="E443" s="263" t="str">
        <f>IF(OR(G443="",H443=""),"",ACOS((SIN(RADIANS(G443)) * SIN(RADIANS('Hydrologie-Méthode rationnelle'!$C$22))) + (COS(RADIANS(G443)) * COS(RADIANS('Hydrologie-Méthode rationnelle'!$C$22))) * (COS(RADIANS(H443) - RADIANS('Hydrologie-Méthode rationnelle'!$C$23)))) * 6371)</f>
        <v/>
      </c>
    </row>
    <row r="444" spans="5:5">
      <c r="E444" s="263" t="str">
        <f>IF(OR(G444="",H444=""),"",ACOS((SIN(RADIANS(G444)) * SIN(RADIANS('Hydrologie-Méthode rationnelle'!$C$22))) + (COS(RADIANS(G444)) * COS(RADIANS('Hydrologie-Méthode rationnelle'!$C$22))) * (COS(RADIANS(H444) - RADIANS('Hydrologie-Méthode rationnelle'!$C$23)))) * 6371)</f>
        <v/>
      </c>
    </row>
    <row r="445" spans="5:5">
      <c r="E445" s="263" t="str">
        <f>IF(OR(G445="",H445=""),"",ACOS((SIN(RADIANS(G445)) * SIN(RADIANS('Hydrologie-Méthode rationnelle'!$C$22))) + (COS(RADIANS(G445)) * COS(RADIANS('Hydrologie-Méthode rationnelle'!$C$22))) * (COS(RADIANS(H445) - RADIANS('Hydrologie-Méthode rationnelle'!$C$23)))) * 6371)</f>
        <v/>
      </c>
    </row>
    <row r="446" spans="5:5">
      <c r="E446" s="263" t="str">
        <f>IF(OR(G446="",H446=""),"",ACOS((SIN(RADIANS(G446)) * SIN(RADIANS('Hydrologie-Méthode rationnelle'!$C$22))) + (COS(RADIANS(G446)) * COS(RADIANS('Hydrologie-Méthode rationnelle'!$C$22))) * (COS(RADIANS(H446) - RADIANS('Hydrologie-Méthode rationnelle'!$C$23)))) * 6371)</f>
        <v/>
      </c>
    </row>
    <row r="447" spans="5:5">
      <c r="E447" s="263" t="str">
        <f>IF(OR(G447="",H447=""),"",ACOS((SIN(RADIANS(G447)) * SIN(RADIANS('Hydrologie-Méthode rationnelle'!$C$22))) + (COS(RADIANS(G447)) * COS(RADIANS('Hydrologie-Méthode rationnelle'!$C$22))) * (COS(RADIANS(H447) - RADIANS('Hydrologie-Méthode rationnelle'!$C$23)))) * 6371)</f>
        <v/>
      </c>
    </row>
    <row r="448" spans="5:5">
      <c r="E448" s="263" t="str">
        <f>IF(OR(G448="",H448=""),"",ACOS((SIN(RADIANS(G448)) * SIN(RADIANS('Hydrologie-Méthode rationnelle'!$C$22))) + (COS(RADIANS(G448)) * COS(RADIANS('Hydrologie-Méthode rationnelle'!$C$22))) * (COS(RADIANS(H448) - RADIANS('Hydrologie-Méthode rationnelle'!$C$23)))) * 6371)</f>
        <v/>
      </c>
    </row>
    <row r="449" spans="5:5">
      <c r="E449" s="263" t="str">
        <f>IF(OR(G449="",H449=""),"",ACOS((SIN(RADIANS(G449)) * SIN(RADIANS('Hydrologie-Méthode rationnelle'!$C$22))) + (COS(RADIANS(G449)) * COS(RADIANS('Hydrologie-Méthode rationnelle'!$C$22))) * (COS(RADIANS(H449) - RADIANS('Hydrologie-Méthode rationnelle'!$C$23)))) * 6371)</f>
        <v/>
      </c>
    </row>
    <row r="450" spans="5:5">
      <c r="E450" s="263" t="str">
        <f>IF(OR(G450="",H450=""),"",ACOS((SIN(RADIANS(G450)) * SIN(RADIANS('Hydrologie-Méthode rationnelle'!$C$22))) + (COS(RADIANS(G450)) * COS(RADIANS('Hydrologie-Méthode rationnelle'!$C$22))) * (COS(RADIANS(H450) - RADIANS('Hydrologie-Méthode rationnelle'!$C$23)))) * 6371)</f>
        <v/>
      </c>
    </row>
    <row r="451" spans="5:5">
      <c r="E451" s="263" t="str">
        <f>IF(OR(G451="",H451=""),"",ACOS((SIN(RADIANS(G451)) * SIN(RADIANS('Hydrologie-Méthode rationnelle'!$C$22))) + (COS(RADIANS(G451)) * COS(RADIANS('Hydrologie-Méthode rationnelle'!$C$22))) * (COS(RADIANS(H451) - RADIANS('Hydrologie-Méthode rationnelle'!$C$23)))) * 6371)</f>
        <v/>
      </c>
    </row>
    <row r="452" spans="5:5">
      <c r="E452" s="263" t="str">
        <f>IF(OR(G452="",H452=""),"",ACOS((SIN(RADIANS(G452)) * SIN(RADIANS('Hydrologie-Méthode rationnelle'!$C$22))) + (COS(RADIANS(G452)) * COS(RADIANS('Hydrologie-Méthode rationnelle'!$C$22))) * (COS(RADIANS(H452) - RADIANS('Hydrologie-Méthode rationnelle'!$C$23)))) * 6371)</f>
        <v/>
      </c>
    </row>
    <row r="453" spans="5:5">
      <c r="E453" s="263" t="str">
        <f>IF(OR(G453="",H453=""),"",ACOS((SIN(RADIANS(G453)) * SIN(RADIANS('Hydrologie-Méthode rationnelle'!$C$22))) + (COS(RADIANS(G453)) * COS(RADIANS('Hydrologie-Méthode rationnelle'!$C$22))) * (COS(RADIANS(H453) - RADIANS('Hydrologie-Méthode rationnelle'!$C$23)))) * 6371)</f>
        <v/>
      </c>
    </row>
    <row r="454" spans="5:5">
      <c r="E454" s="263" t="str">
        <f>IF(OR(G454="",H454=""),"",ACOS((SIN(RADIANS(G454)) * SIN(RADIANS('Hydrologie-Méthode rationnelle'!$C$22))) + (COS(RADIANS(G454)) * COS(RADIANS('Hydrologie-Méthode rationnelle'!$C$22))) * (COS(RADIANS(H454) - RADIANS('Hydrologie-Méthode rationnelle'!$C$23)))) * 6371)</f>
        <v/>
      </c>
    </row>
    <row r="455" spans="5:5">
      <c r="E455" s="263" t="str">
        <f>IF(OR(G455="",H455=""),"",ACOS((SIN(RADIANS(G455)) * SIN(RADIANS('Hydrologie-Méthode rationnelle'!$C$22))) + (COS(RADIANS(G455)) * COS(RADIANS('Hydrologie-Méthode rationnelle'!$C$22))) * (COS(RADIANS(H455) - RADIANS('Hydrologie-Méthode rationnelle'!$C$23)))) * 6371)</f>
        <v/>
      </c>
    </row>
    <row r="456" spans="5:5">
      <c r="E456" s="263" t="str">
        <f>IF(OR(G456="",H456=""),"",ACOS((SIN(RADIANS(G456)) * SIN(RADIANS('Hydrologie-Méthode rationnelle'!$C$22))) + (COS(RADIANS(G456)) * COS(RADIANS('Hydrologie-Méthode rationnelle'!$C$22))) * (COS(RADIANS(H456) - RADIANS('Hydrologie-Méthode rationnelle'!$C$23)))) * 6371)</f>
        <v/>
      </c>
    </row>
    <row r="457" spans="5:5">
      <c r="E457" s="263" t="str">
        <f>IF(OR(G457="",H457=""),"",ACOS((SIN(RADIANS(G457)) * SIN(RADIANS('Hydrologie-Méthode rationnelle'!$C$22))) + (COS(RADIANS(G457)) * COS(RADIANS('Hydrologie-Méthode rationnelle'!$C$22))) * (COS(RADIANS(H457) - RADIANS('Hydrologie-Méthode rationnelle'!$C$23)))) * 6371)</f>
        <v/>
      </c>
    </row>
    <row r="458" spans="5:5">
      <c r="E458" s="263" t="str">
        <f>IF(OR(G458="",H458=""),"",ACOS((SIN(RADIANS(G458)) * SIN(RADIANS('Hydrologie-Méthode rationnelle'!$C$22))) + (COS(RADIANS(G458)) * COS(RADIANS('Hydrologie-Méthode rationnelle'!$C$22))) * (COS(RADIANS(H458) - RADIANS('Hydrologie-Méthode rationnelle'!$C$23)))) * 6371)</f>
        <v/>
      </c>
    </row>
    <row r="459" spans="5:5">
      <c r="E459" s="263" t="str">
        <f>IF(OR(G459="",H459=""),"",ACOS((SIN(RADIANS(G459)) * SIN(RADIANS('Hydrologie-Méthode rationnelle'!$C$22))) + (COS(RADIANS(G459)) * COS(RADIANS('Hydrologie-Méthode rationnelle'!$C$22))) * (COS(RADIANS(H459) - RADIANS('Hydrologie-Méthode rationnelle'!$C$23)))) * 6371)</f>
        <v/>
      </c>
    </row>
    <row r="460" spans="5:5">
      <c r="E460" s="263" t="str">
        <f>IF(OR(G460="",H460=""),"",ACOS((SIN(RADIANS(G460)) * SIN(RADIANS('Hydrologie-Méthode rationnelle'!$C$22))) + (COS(RADIANS(G460)) * COS(RADIANS('Hydrologie-Méthode rationnelle'!$C$22))) * (COS(RADIANS(H460) - RADIANS('Hydrologie-Méthode rationnelle'!$C$23)))) * 6371)</f>
        <v/>
      </c>
    </row>
    <row r="461" spans="5:5">
      <c r="E461" s="263" t="str">
        <f>IF(OR(G461="",H461=""),"",ACOS((SIN(RADIANS(G461)) * SIN(RADIANS('Hydrologie-Méthode rationnelle'!$C$22))) + (COS(RADIANS(G461)) * COS(RADIANS('Hydrologie-Méthode rationnelle'!$C$22))) * (COS(RADIANS(H461) - RADIANS('Hydrologie-Méthode rationnelle'!$C$23)))) * 6371)</f>
        <v/>
      </c>
    </row>
    <row r="462" spans="5:5">
      <c r="E462" s="263" t="str">
        <f>IF(OR(G462="",H462=""),"",ACOS((SIN(RADIANS(G462)) * SIN(RADIANS('Hydrologie-Méthode rationnelle'!$C$22))) + (COS(RADIANS(G462)) * COS(RADIANS('Hydrologie-Méthode rationnelle'!$C$22))) * (COS(RADIANS(H462) - RADIANS('Hydrologie-Méthode rationnelle'!$C$23)))) * 6371)</f>
        <v/>
      </c>
    </row>
    <row r="463" spans="5:5">
      <c r="E463" s="263" t="str">
        <f>IF(OR(G463="",H463=""),"",ACOS((SIN(RADIANS(G463)) * SIN(RADIANS('Hydrologie-Méthode rationnelle'!$C$22))) + (COS(RADIANS(G463)) * COS(RADIANS('Hydrologie-Méthode rationnelle'!$C$22))) * (COS(RADIANS(H463) - RADIANS('Hydrologie-Méthode rationnelle'!$C$23)))) * 6371)</f>
        <v/>
      </c>
    </row>
    <row r="464" spans="5:5">
      <c r="E464" s="263" t="str">
        <f>IF(OR(G464="",H464=""),"",ACOS((SIN(RADIANS(G464)) * SIN(RADIANS('Hydrologie-Méthode rationnelle'!$C$22))) + (COS(RADIANS(G464)) * COS(RADIANS('Hydrologie-Méthode rationnelle'!$C$22))) * (COS(RADIANS(H464) - RADIANS('Hydrologie-Méthode rationnelle'!$C$23)))) * 6371)</f>
        <v/>
      </c>
    </row>
    <row r="465" spans="5:5">
      <c r="E465" s="263" t="str">
        <f>IF(OR(G465="",H465=""),"",ACOS((SIN(RADIANS(G465)) * SIN(RADIANS('Hydrologie-Méthode rationnelle'!$C$22))) + (COS(RADIANS(G465)) * COS(RADIANS('Hydrologie-Méthode rationnelle'!$C$22))) * (COS(RADIANS(H465) - RADIANS('Hydrologie-Méthode rationnelle'!$C$23)))) * 6371)</f>
        <v/>
      </c>
    </row>
    <row r="466" spans="5:5">
      <c r="E466" s="263" t="str">
        <f>IF(OR(G466="",H466=""),"",ACOS((SIN(RADIANS(G466)) * SIN(RADIANS('Hydrologie-Méthode rationnelle'!$C$22))) + (COS(RADIANS(G466)) * COS(RADIANS('Hydrologie-Méthode rationnelle'!$C$22))) * (COS(RADIANS(H466) - RADIANS('Hydrologie-Méthode rationnelle'!$C$23)))) * 6371)</f>
        <v/>
      </c>
    </row>
    <row r="467" spans="5:5">
      <c r="E467" s="263" t="str">
        <f>IF(OR(G467="",H467=""),"",ACOS((SIN(RADIANS(G467)) * SIN(RADIANS('Hydrologie-Méthode rationnelle'!$C$22))) + (COS(RADIANS(G467)) * COS(RADIANS('Hydrologie-Méthode rationnelle'!$C$22))) * (COS(RADIANS(H467) - RADIANS('Hydrologie-Méthode rationnelle'!$C$23)))) * 6371)</f>
        <v/>
      </c>
    </row>
    <row r="468" spans="5:5">
      <c r="E468" s="263" t="str">
        <f>IF(OR(G468="",H468=""),"",ACOS((SIN(RADIANS(G468)) * SIN(RADIANS('Hydrologie-Méthode rationnelle'!$C$22))) + (COS(RADIANS(G468)) * COS(RADIANS('Hydrologie-Méthode rationnelle'!$C$22))) * (COS(RADIANS(H468) - RADIANS('Hydrologie-Méthode rationnelle'!$C$23)))) * 6371)</f>
        <v/>
      </c>
    </row>
    <row r="469" spans="5:5">
      <c r="E469" s="263" t="str">
        <f>IF(OR(G469="",H469=""),"",ACOS((SIN(RADIANS(G469)) * SIN(RADIANS('Hydrologie-Méthode rationnelle'!$C$22))) + (COS(RADIANS(G469)) * COS(RADIANS('Hydrologie-Méthode rationnelle'!$C$22))) * (COS(RADIANS(H469) - RADIANS('Hydrologie-Méthode rationnelle'!$C$23)))) * 6371)</f>
        <v/>
      </c>
    </row>
    <row r="470" spans="5:5">
      <c r="E470" s="263" t="str">
        <f>IF(OR(G470="",H470=""),"",ACOS((SIN(RADIANS(G470)) * SIN(RADIANS('Hydrologie-Méthode rationnelle'!$C$22))) + (COS(RADIANS(G470)) * COS(RADIANS('Hydrologie-Méthode rationnelle'!$C$22))) * (COS(RADIANS(H470) - RADIANS('Hydrologie-Méthode rationnelle'!$C$23)))) * 6371)</f>
        <v/>
      </c>
    </row>
    <row r="471" spans="5:5">
      <c r="E471" s="263" t="str">
        <f>IF(OR(G471="",H471=""),"",ACOS((SIN(RADIANS(G471)) * SIN(RADIANS('Hydrologie-Méthode rationnelle'!$C$22))) + (COS(RADIANS(G471)) * COS(RADIANS('Hydrologie-Méthode rationnelle'!$C$22))) * (COS(RADIANS(H471) - RADIANS('Hydrologie-Méthode rationnelle'!$C$23)))) * 6371)</f>
        <v/>
      </c>
    </row>
    <row r="472" spans="5:5">
      <c r="E472" s="263" t="str">
        <f>IF(OR(G472="",H472=""),"",ACOS((SIN(RADIANS(G472)) * SIN(RADIANS('Hydrologie-Méthode rationnelle'!$C$22))) + (COS(RADIANS(G472)) * COS(RADIANS('Hydrologie-Méthode rationnelle'!$C$22))) * (COS(RADIANS(H472) - RADIANS('Hydrologie-Méthode rationnelle'!$C$23)))) * 6371)</f>
        <v/>
      </c>
    </row>
    <row r="473" spans="5:5">
      <c r="E473" s="263" t="str">
        <f>IF(OR(G473="",H473=""),"",ACOS((SIN(RADIANS(G473)) * SIN(RADIANS('Hydrologie-Méthode rationnelle'!$C$22))) + (COS(RADIANS(G473)) * COS(RADIANS('Hydrologie-Méthode rationnelle'!$C$22))) * (COS(RADIANS(H473) - RADIANS('Hydrologie-Méthode rationnelle'!$C$23)))) * 6371)</f>
        <v/>
      </c>
    </row>
    <row r="474" spans="5:5">
      <c r="E474" s="263" t="str">
        <f>IF(OR(G474="",H474=""),"",ACOS((SIN(RADIANS(G474)) * SIN(RADIANS('Hydrologie-Méthode rationnelle'!$C$22))) + (COS(RADIANS(G474)) * COS(RADIANS('Hydrologie-Méthode rationnelle'!$C$22))) * (COS(RADIANS(H474) - RADIANS('Hydrologie-Méthode rationnelle'!$C$23)))) * 6371)</f>
        <v/>
      </c>
    </row>
    <row r="475" spans="5:5">
      <c r="E475" s="263" t="str">
        <f>IF(OR(G475="",H475=""),"",ACOS((SIN(RADIANS(G475)) * SIN(RADIANS('Hydrologie-Méthode rationnelle'!$C$22))) + (COS(RADIANS(G475)) * COS(RADIANS('Hydrologie-Méthode rationnelle'!$C$22))) * (COS(RADIANS(H475) - RADIANS('Hydrologie-Méthode rationnelle'!$C$23)))) * 6371)</f>
        <v/>
      </c>
    </row>
    <row r="476" spans="5:5">
      <c r="E476" s="263" t="str">
        <f>IF(OR(G476="",H476=""),"",ACOS((SIN(RADIANS(G476)) * SIN(RADIANS('Hydrologie-Méthode rationnelle'!$C$22))) + (COS(RADIANS(G476)) * COS(RADIANS('Hydrologie-Méthode rationnelle'!$C$22))) * (COS(RADIANS(H476) - RADIANS('Hydrologie-Méthode rationnelle'!$C$23)))) * 6371)</f>
        <v/>
      </c>
    </row>
    <row r="477" spans="5:5">
      <c r="E477" s="263" t="str">
        <f>IF(OR(G477="",H477=""),"",ACOS((SIN(RADIANS(G477)) * SIN(RADIANS('Hydrologie-Méthode rationnelle'!$C$22))) + (COS(RADIANS(G477)) * COS(RADIANS('Hydrologie-Méthode rationnelle'!$C$22))) * (COS(RADIANS(H477) - RADIANS('Hydrologie-Méthode rationnelle'!$C$23)))) * 6371)</f>
        <v/>
      </c>
    </row>
    <row r="478" spans="5:5">
      <c r="E478" s="263" t="str">
        <f>IF(OR(G478="",H478=""),"",ACOS((SIN(RADIANS(G478)) * SIN(RADIANS('Hydrologie-Méthode rationnelle'!$C$22))) + (COS(RADIANS(G478)) * COS(RADIANS('Hydrologie-Méthode rationnelle'!$C$22))) * (COS(RADIANS(H478) - RADIANS('Hydrologie-Méthode rationnelle'!$C$23)))) * 6371)</f>
        <v/>
      </c>
    </row>
    <row r="479" spans="5:5">
      <c r="E479" s="263" t="str">
        <f>IF(OR(G479="",H479=""),"",ACOS((SIN(RADIANS(G479)) * SIN(RADIANS('Hydrologie-Méthode rationnelle'!$C$22))) + (COS(RADIANS(G479)) * COS(RADIANS('Hydrologie-Méthode rationnelle'!$C$22))) * (COS(RADIANS(H479) - RADIANS('Hydrologie-Méthode rationnelle'!$C$23)))) * 6371)</f>
        <v/>
      </c>
    </row>
    <row r="480" spans="5:5">
      <c r="E480" s="263" t="str">
        <f>IF(OR(G480="",H480=""),"",ACOS((SIN(RADIANS(G480)) * SIN(RADIANS('Hydrologie-Méthode rationnelle'!$C$22))) + (COS(RADIANS(G480)) * COS(RADIANS('Hydrologie-Méthode rationnelle'!$C$22))) * (COS(RADIANS(H480) - RADIANS('Hydrologie-Méthode rationnelle'!$C$23)))) * 6371)</f>
        <v/>
      </c>
    </row>
    <row r="481" spans="5:5">
      <c r="E481" s="263" t="str">
        <f>IF(OR(G481="",H481=""),"",ACOS((SIN(RADIANS(G481)) * SIN(RADIANS('Hydrologie-Méthode rationnelle'!$C$22))) + (COS(RADIANS(G481)) * COS(RADIANS('Hydrologie-Méthode rationnelle'!$C$22))) * (COS(RADIANS(H481) - RADIANS('Hydrologie-Méthode rationnelle'!$C$23)))) * 6371)</f>
        <v/>
      </c>
    </row>
    <row r="482" spans="5:5">
      <c r="E482" s="263" t="str">
        <f>IF(OR(G482="",H482=""),"",ACOS((SIN(RADIANS(G482)) * SIN(RADIANS('Hydrologie-Méthode rationnelle'!$C$22))) + (COS(RADIANS(G482)) * COS(RADIANS('Hydrologie-Méthode rationnelle'!$C$22))) * (COS(RADIANS(H482) - RADIANS('Hydrologie-Méthode rationnelle'!$C$23)))) * 6371)</f>
        <v/>
      </c>
    </row>
    <row r="483" spans="5:5">
      <c r="E483" s="263" t="str">
        <f>IF(OR(G483="",H483=""),"",ACOS((SIN(RADIANS(G483)) * SIN(RADIANS('Hydrologie-Méthode rationnelle'!$C$22))) + (COS(RADIANS(G483)) * COS(RADIANS('Hydrologie-Méthode rationnelle'!$C$22))) * (COS(RADIANS(H483) - RADIANS('Hydrologie-Méthode rationnelle'!$C$23)))) * 6371)</f>
        <v/>
      </c>
    </row>
    <row r="484" spans="5:5">
      <c r="E484" s="263" t="str">
        <f>IF(OR(G484="",H484=""),"",ACOS((SIN(RADIANS(G484)) * SIN(RADIANS('Hydrologie-Méthode rationnelle'!$C$22))) + (COS(RADIANS(G484)) * COS(RADIANS('Hydrologie-Méthode rationnelle'!$C$22))) * (COS(RADIANS(H484) - RADIANS('Hydrologie-Méthode rationnelle'!$C$23)))) * 6371)</f>
        <v/>
      </c>
    </row>
    <row r="485" spans="5:5">
      <c r="E485" s="263" t="str">
        <f>IF(OR(G485="",H485=""),"",ACOS((SIN(RADIANS(G485)) * SIN(RADIANS('Hydrologie-Méthode rationnelle'!$C$22))) + (COS(RADIANS(G485)) * COS(RADIANS('Hydrologie-Méthode rationnelle'!$C$22))) * (COS(RADIANS(H485) - RADIANS('Hydrologie-Méthode rationnelle'!$C$23)))) * 6371)</f>
        <v/>
      </c>
    </row>
    <row r="486" spans="5:5">
      <c r="E486" s="263" t="str">
        <f>IF(OR(G486="",H486=""),"",ACOS((SIN(RADIANS(G486)) * SIN(RADIANS('Hydrologie-Méthode rationnelle'!$C$22))) + (COS(RADIANS(G486)) * COS(RADIANS('Hydrologie-Méthode rationnelle'!$C$22))) * (COS(RADIANS(H486) - RADIANS('Hydrologie-Méthode rationnelle'!$C$23)))) * 6371)</f>
        <v/>
      </c>
    </row>
    <row r="487" spans="5:5">
      <c r="E487" s="263" t="str">
        <f>IF(OR(G487="",H487=""),"",ACOS((SIN(RADIANS(G487)) * SIN(RADIANS('Hydrologie-Méthode rationnelle'!$C$22))) + (COS(RADIANS(G487)) * COS(RADIANS('Hydrologie-Méthode rationnelle'!$C$22))) * (COS(RADIANS(H487) - RADIANS('Hydrologie-Méthode rationnelle'!$C$23)))) * 6371)</f>
        <v/>
      </c>
    </row>
    <row r="488" spans="5:5">
      <c r="E488" s="263" t="str">
        <f>IF(OR(G488="",H488=""),"",ACOS((SIN(RADIANS(G488)) * SIN(RADIANS('Hydrologie-Méthode rationnelle'!$C$22))) + (COS(RADIANS(G488)) * COS(RADIANS('Hydrologie-Méthode rationnelle'!$C$22))) * (COS(RADIANS(H488) - RADIANS('Hydrologie-Méthode rationnelle'!$C$23)))) * 6371)</f>
        <v/>
      </c>
    </row>
    <row r="489" spans="5:5">
      <c r="E489" s="263" t="str">
        <f>IF(OR(G489="",H489=""),"",ACOS((SIN(RADIANS(G489)) * SIN(RADIANS('Hydrologie-Méthode rationnelle'!$C$22))) + (COS(RADIANS(G489)) * COS(RADIANS('Hydrologie-Méthode rationnelle'!$C$22))) * (COS(RADIANS(H489) - RADIANS('Hydrologie-Méthode rationnelle'!$C$23)))) * 6371)</f>
        <v/>
      </c>
    </row>
    <row r="490" spans="5:5">
      <c r="E490" s="263" t="str">
        <f>IF(OR(G490="",H490=""),"",ACOS((SIN(RADIANS(G490)) * SIN(RADIANS('Hydrologie-Méthode rationnelle'!$C$22))) + (COS(RADIANS(G490)) * COS(RADIANS('Hydrologie-Méthode rationnelle'!$C$22))) * (COS(RADIANS(H490) - RADIANS('Hydrologie-Méthode rationnelle'!$C$23)))) * 6371)</f>
        <v/>
      </c>
    </row>
    <row r="491" spans="5:5">
      <c r="E491" s="263" t="str">
        <f>IF(OR(G491="",H491=""),"",ACOS((SIN(RADIANS(G491)) * SIN(RADIANS('Hydrologie-Méthode rationnelle'!$C$22))) + (COS(RADIANS(G491)) * COS(RADIANS('Hydrologie-Méthode rationnelle'!$C$22))) * (COS(RADIANS(H491) - RADIANS('Hydrologie-Méthode rationnelle'!$C$23)))) * 6371)</f>
        <v/>
      </c>
    </row>
    <row r="492" spans="5:5">
      <c r="E492" s="263" t="str">
        <f>IF(OR(G492="",H492=""),"",ACOS((SIN(RADIANS(G492)) * SIN(RADIANS('Hydrologie-Méthode rationnelle'!$C$22))) + (COS(RADIANS(G492)) * COS(RADIANS('Hydrologie-Méthode rationnelle'!$C$22))) * (COS(RADIANS(H492) - RADIANS('Hydrologie-Méthode rationnelle'!$C$23)))) * 6371)</f>
        <v/>
      </c>
    </row>
    <row r="493" spans="5:5">
      <c r="E493" s="263" t="str">
        <f>IF(OR(G493="",H493=""),"",ACOS((SIN(RADIANS(G493)) * SIN(RADIANS('Hydrologie-Méthode rationnelle'!$C$22))) + (COS(RADIANS(G493)) * COS(RADIANS('Hydrologie-Méthode rationnelle'!$C$22))) * (COS(RADIANS(H493) - RADIANS('Hydrologie-Méthode rationnelle'!$C$23)))) * 6371)</f>
        <v/>
      </c>
    </row>
    <row r="494" spans="5:5">
      <c r="E494" s="263" t="str">
        <f>IF(OR(G494="",H494=""),"",ACOS((SIN(RADIANS(G494)) * SIN(RADIANS('Hydrologie-Méthode rationnelle'!$C$22))) + (COS(RADIANS(G494)) * COS(RADIANS('Hydrologie-Méthode rationnelle'!$C$22))) * (COS(RADIANS(H494) - RADIANS('Hydrologie-Méthode rationnelle'!$C$23)))) * 6371)</f>
        <v/>
      </c>
    </row>
    <row r="495" spans="5:5">
      <c r="E495" s="263" t="str">
        <f>IF(OR(G495="",H495=""),"",ACOS((SIN(RADIANS(G495)) * SIN(RADIANS('Hydrologie-Méthode rationnelle'!$C$22))) + (COS(RADIANS(G495)) * COS(RADIANS('Hydrologie-Méthode rationnelle'!$C$22))) * (COS(RADIANS(H495) - RADIANS('Hydrologie-Méthode rationnelle'!$C$23)))) * 6371)</f>
        <v/>
      </c>
    </row>
    <row r="496" spans="5:5">
      <c r="E496" s="263" t="str">
        <f>IF(OR(G496="",H496=""),"",ACOS((SIN(RADIANS(G496)) * SIN(RADIANS('Hydrologie-Méthode rationnelle'!$C$22))) + (COS(RADIANS(G496)) * COS(RADIANS('Hydrologie-Méthode rationnelle'!$C$22))) * (COS(RADIANS(H496) - RADIANS('Hydrologie-Méthode rationnelle'!$C$23)))) * 6371)</f>
        <v/>
      </c>
    </row>
    <row r="497" spans="5:5">
      <c r="E497" s="263" t="str">
        <f>IF(OR(G497="",H497=""),"",ACOS((SIN(RADIANS(G497)) * SIN(RADIANS('Hydrologie-Méthode rationnelle'!$C$22))) + (COS(RADIANS(G497)) * COS(RADIANS('Hydrologie-Méthode rationnelle'!$C$22))) * (COS(RADIANS(H497) - RADIANS('Hydrologie-Méthode rationnelle'!$C$23)))) * 6371)</f>
        <v/>
      </c>
    </row>
    <row r="498" spans="5:5">
      <c r="E498" s="263" t="str">
        <f>IF(OR(G498="",H498=""),"",ACOS((SIN(RADIANS(G498)) * SIN(RADIANS('Hydrologie-Méthode rationnelle'!$C$22))) + (COS(RADIANS(G498)) * COS(RADIANS('Hydrologie-Méthode rationnelle'!$C$22))) * (COS(RADIANS(H498) - RADIANS('Hydrologie-Méthode rationnelle'!$C$23)))) * 6371)</f>
        <v/>
      </c>
    </row>
    <row r="499" spans="5:5">
      <c r="E499" s="263" t="str">
        <f>IF(OR(G499="",H499=""),"",ACOS((SIN(RADIANS(G499)) * SIN(RADIANS('Hydrologie-Méthode rationnelle'!$C$22))) + (COS(RADIANS(G499)) * COS(RADIANS('Hydrologie-Méthode rationnelle'!$C$22))) * (COS(RADIANS(H499) - RADIANS('Hydrologie-Méthode rationnelle'!$C$23)))) * 6371)</f>
        <v/>
      </c>
    </row>
    <row r="500" spans="5:5">
      <c r="E500" s="263" t="str">
        <f>IF(OR(G500="",H500=""),"",ACOS((SIN(RADIANS(G500)) * SIN(RADIANS('Hydrologie-Méthode rationnelle'!$C$22))) + (COS(RADIANS(G500)) * COS(RADIANS('Hydrologie-Méthode rationnelle'!$C$22))) * (COS(RADIANS(H500) - RADIANS('Hydrologie-Méthode rationnelle'!$C$23)))) * 6371)</f>
        <v/>
      </c>
    </row>
    <row r="501" spans="5:5">
      <c r="E501" s="263" t="str">
        <f>IF(OR(G501="",H501=""),"",ACOS((SIN(RADIANS(G501)) * SIN(RADIANS('Hydrologie-Méthode rationnelle'!$C$22))) + (COS(RADIANS(G501)) * COS(RADIANS('Hydrologie-Méthode rationnelle'!$C$22))) * (COS(RADIANS(H501) - RADIANS('Hydrologie-Méthode rationnelle'!$C$23)))) * 6371)</f>
        <v/>
      </c>
    </row>
    <row r="502" spans="5:5">
      <c r="E502" s="263" t="str">
        <f>IF(OR(G502="",H502=""),"",ACOS((SIN(RADIANS(G502)) * SIN(RADIANS('Hydrologie-Méthode rationnelle'!$C$22))) + (COS(RADIANS(G502)) * COS(RADIANS('Hydrologie-Méthode rationnelle'!$C$22))) * (COS(RADIANS(H502) - RADIANS('Hydrologie-Méthode rationnelle'!$C$23)))) * 6371)</f>
        <v/>
      </c>
    </row>
    <row r="503" spans="5:5">
      <c r="E503" s="263" t="str">
        <f>IF(OR(G503="",H503=""),"",ACOS((SIN(RADIANS(G503)) * SIN(RADIANS('Hydrologie-Méthode rationnelle'!$C$22))) + (COS(RADIANS(G503)) * COS(RADIANS('Hydrologie-Méthode rationnelle'!$C$22))) * (COS(RADIANS(H503) - RADIANS('Hydrologie-Méthode rationnelle'!$C$23)))) * 6371)</f>
        <v/>
      </c>
    </row>
    <row r="504" spans="5:5">
      <c r="E504" s="263" t="str">
        <f>IF(OR(G504="",H504=""),"",ACOS((SIN(RADIANS(G504)) * SIN(RADIANS('Hydrologie-Méthode rationnelle'!$C$22))) + (COS(RADIANS(G504)) * COS(RADIANS('Hydrologie-Méthode rationnelle'!$C$22))) * (COS(RADIANS(H504) - RADIANS('Hydrologie-Méthode rationnelle'!$C$23)))) * 6371)</f>
        <v/>
      </c>
    </row>
    <row r="505" spans="5:5">
      <c r="E505" s="263" t="str">
        <f>IF(OR(G505="",H505=""),"",ACOS((SIN(RADIANS(G505)) * SIN(RADIANS('Hydrologie-Méthode rationnelle'!$C$22))) + (COS(RADIANS(G505)) * COS(RADIANS('Hydrologie-Méthode rationnelle'!$C$22))) * (COS(RADIANS(H505) - RADIANS('Hydrologie-Méthode rationnelle'!$C$23)))) * 6371)</f>
        <v/>
      </c>
    </row>
    <row r="506" spans="5:5">
      <c r="E506" s="263" t="str">
        <f>IF(OR(G506="",H506=""),"",ACOS((SIN(RADIANS(G506)) * SIN(RADIANS('Hydrologie-Méthode rationnelle'!$C$22))) + (COS(RADIANS(G506)) * COS(RADIANS('Hydrologie-Méthode rationnelle'!$C$22))) * (COS(RADIANS(H506) - RADIANS('Hydrologie-Méthode rationnelle'!$C$23)))) * 6371)</f>
        <v/>
      </c>
    </row>
    <row r="507" spans="5:5">
      <c r="E507" s="263" t="str">
        <f>IF(OR(G507="",H507=""),"",ACOS((SIN(RADIANS(G507)) * SIN(RADIANS('Hydrologie-Méthode rationnelle'!$C$22))) + (COS(RADIANS(G507)) * COS(RADIANS('Hydrologie-Méthode rationnelle'!$C$22))) * (COS(RADIANS(H507) - RADIANS('Hydrologie-Méthode rationnelle'!$C$23)))) * 6371)</f>
        <v/>
      </c>
    </row>
    <row r="508" spans="5:5">
      <c r="E508" s="263" t="str">
        <f>IF(OR(G508="",H508=""),"",ACOS((SIN(RADIANS(G508)) * SIN(RADIANS('Hydrologie-Méthode rationnelle'!$C$22))) + (COS(RADIANS(G508)) * COS(RADIANS('Hydrologie-Méthode rationnelle'!$C$22))) * (COS(RADIANS(H508) - RADIANS('Hydrologie-Méthode rationnelle'!$C$23)))) * 6371)</f>
        <v/>
      </c>
    </row>
    <row r="509" spans="5:5">
      <c r="E509" s="263" t="str">
        <f>IF(OR(G509="",H509=""),"",ACOS((SIN(RADIANS(G509)) * SIN(RADIANS('Hydrologie-Méthode rationnelle'!$C$22))) + (COS(RADIANS(G509)) * COS(RADIANS('Hydrologie-Méthode rationnelle'!$C$22))) * (COS(RADIANS(H509) - RADIANS('Hydrologie-Méthode rationnelle'!$C$23)))) * 6371)</f>
        <v/>
      </c>
    </row>
    <row r="510" spans="5:5">
      <c r="E510" s="263" t="str">
        <f>IF(OR(G510="",H510=""),"",ACOS((SIN(RADIANS(G510)) * SIN(RADIANS('Hydrologie-Méthode rationnelle'!$C$22))) + (COS(RADIANS(G510)) * COS(RADIANS('Hydrologie-Méthode rationnelle'!$C$22))) * (COS(RADIANS(H510) - RADIANS('Hydrologie-Méthode rationnelle'!$C$23)))) * 6371)</f>
        <v/>
      </c>
    </row>
    <row r="511" spans="5:5">
      <c r="E511" s="263" t="str">
        <f>IF(OR(G511="",H511=""),"",ACOS((SIN(RADIANS(G511)) * SIN(RADIANS('Hydrologie-Méthode rationnelle'!$C$22))) + (COS(RADIANS(G511)) * COS(RADIANS('Hydrologie-Méthode rationnelle'!$C$22))) * (COS(RADIANS(H511) - RADIANS('Hydrologie-Méthode rationnelle'!$C$23)))) * 6371)</f>
        <v/>
      </c>
    </row>
    <row r="512" spans="5:5">
      <c r="E512" s="263" t="str">
        <f>IF(OR(G512="",H512=""),"",ACOS((SIN(RADIANS(G512)) * SIN(RADIANS('Hydrologie-Méthode rationnelle'!$C$22))) + (COS(RADIANS(G512)) * COS(RADIANS('Hydrologie-Méthode rationnelle'!$C$22))) * (COS(RADIANS(H512) - RADIANS('Hydrologie-Méthode rationnelle'!$C$23)))) * 6371)</f>
        <v/>
      </c>
    </row>
    <row r="513" spans="5:5">
      <c r="E513" s="263" t="str">
        <f>IF(OR(G513="",H513=""),"",ACOS((SIN(RADIANS(G513)) * SIN(RADIANS('Hydrologie-Méthode rationnelle'!$C$22))) + (COS(RADIANS(G513)) * COS(RADIANS('Hydrologie-Méthode rationnelle'!$C$22))) * (COS(RADIANS(H513) - RADIANS('Hydrologie-Méthode rationnelle'!$C$23)))) * 6371)</f>
        <v/>
      </c>
    </row>
    <row r="514" spans="5:5">
      <c r="E514" s="263" t="str">
        <f>IF(OR(G514="",H514=""),"",ACOS((SIN(RADIANS(G514)) * SIN(RADIANS('Hydrologie-Méthode rationnelle'!$C$22))) + (COS(RADIANS(G514)) * COS(RADIANS('Hydrologie-Méthode rationnelle'!$C$22))) * (COS(RADIANS(H514) - RADIANS('Hydrologie-Méthode rationnelle'!$C$23)))) * 6371)</f>
        <v/>
      </c>
    </row>
    <row r="515" spans="5:5">
      <c r="E515" s="263" t="str">
        <f>IF(OR(G515="",H515=""),"",ACOS((SIN(RADIANS(G515)) * SIN(RADIANS('Hydrologie-Méthode rationnelle'!$C$22))) + (COS(RADIANS(G515)) * COS(RADIANS('Hydrologie-Méthode rationnelle'!$C$22))) * (COS(RADIANS(H515) - RADIANS('Hydrologie-Méthode rationnelle'!$C$23)))) * 6371)</f>
        <v/>
      </c>
    </row>
    <row r="516" spans="5:5">
      <c r="E516" s="263" t="str">
        <f>IF(OR(G516="",H516=""),"",ACOS((SIN(RADIANS(G516)) * SIN(RADIANS('Hydrologie-Méthode rationnelle'!$C$22))) + (COS(RADIANS(G516)) * COS(RADIANS('Hydrologie-Méthode rationnelle'!$C$22))) * (COS(RADIANS(H516) - RADIANS('Hydrologie-Méthode rationnelle'!$C$23)))) * 6371)</f>
        <v/>
      </c>
    </row>
    <row r="517" spans="5:5">
      <c r="E517" s="263" t="str">
        <f>IF(OR(G517="",H517=""),"",ACOS((SIN(RADIANS(G517)) * SIN(RADIANS('Hydrologie-Méthode rationnelle'!$C$22))) + (COS(RADIANS(G517)) * COS(RADIANS('Hydrologie-Méthode rationnelle'!$C$22))) * (COS(RADIANS(H517) - RADIANS('Hydrologie-Méthode rationnelle'!$C$23)))) * 6371)</f>
        <v/>
      </c>
    </row>
    <row r="518" spans="5:5">
      <c r="E518" s="263" t="str">
        <f>IF(OR(G518="",H518=""),"",ACOS((SIN(RADIANS(G518)) * SIN(RADIANS('Hydrologie-Méthode rationnelle'!$C$22))) + (COS(RADIANS(G518)) * COS(RADIANS('Hydrologie-Méthode rationnelle'!$C$22))) * (COS(RADIANS(H518) - RADIANS('Hydrologie-Méthode rationnelle'!$C$23)))) * 6371)</f>
        <v/>
      </c>
    </row>
    <row r="519" spans="5:5">
      <c r="E519" s="263" t="str">
        <f>IF(OR(G519="",H519=""),"",ACOS((SIN(RADIANS(G519)) * SIN(RADIANS('Hydrologie-Méthode rationnelle'!$C$22))) + (COS(RADIANS(G519)) * COS(RADIANS('Hydrologie-Méthode rationnelle'!$C$22))) * (COS(RADIANS(H519) - RADIANS('Hydrologie-Méthode rationnelle'!$C$23)))) * 6371)</f>
        <v/>
      </c>
    </row>
    <row r="520" spans="5:5">
      <c r="E520" s="263" t="str">
        <f>IF(OR(G520="",H520=""),"",ACOS((SIN(RADIANS(G520)) * SIN(RADIANS('Hydrologie-Méthode rationnelle'!$C$22))) + (COS(RADIANS(G520)) * COS(RADIANS('Hydrologie-Méthode rationnelle'!$C$22))) * (COS(RADIANS(H520) - RADIANS('Hydrologie-Méthode rationnelle'!$C$23)))) * 6371)</f>
        <v/>
      </c>
    </row>
    <row r="521" spans="5:5">
      <c r="E521" s="263" t="str">
        <f>IF(OR(G521="",H521=""),"",ACOS((SIN(RADIANS(G521)) * SIN(RADIANS('Hydrologie-Méthode rationnelle'!$C$22))) + (COS(RADIANS(G521)) * COS(RADIANS('Hydrologie-Méthode rationnelle'!$C$22))) * (COS(RADIANS(H521) - RADIANS('Hydrologie-Méthode rationnelle'!$C$23)))) * 6371)</f>
        <v/>
      </c>
    </row>
    <row r="522" spans="5:5">
      <c r="E522" s="263" t="str">
        <f>IF(OR(G522="",H522=""),"",ACOS((SIN(RADIANS(G522)) * SIN(RADIANS('Hydrologie-Méthode rationnelle'!$C$22))) + (COS(RADIANS(G522)) * COS(RADIANS('Hydrologie-Méthode rationnelle'!$C$22))) * (COS(RADIANS(H522) - RADIANS('Hydrologie-Méthode rationnelle'!$C$23)))) * 6371)</f>
        <v/>
      </c>
    </row>
    <row r="523" spans="5:5">
      <c r="E523" s="263" t="str">
        <f>IF(OR(G523="",H523=""),"",ACOS((SIN(RADIANS(G523)) * SIN(RADIANS('Hydrologie-Méthode rationnelle'!$C$22))) + (COS(RADIANS(G523)) * COS(RADIANS('Hydrologie-Méthode rationnelle'!$C$22))) * (COS(RADIANS(H523) - RADIANS('Hydrologie-Méthode rationnelle'!$C$23)))) * 6371)</f>
        <v/>
      </c>
    </row>
    <row r="524" spans="5:5">
      <c r="E524" s="263" t="str">
        <f>IF(OR(G524="",H524=""),"",ACOS((SIN(RADIANS(G524)) * SIN(RADIANS('Hydrologie-Méthode rationnelle'!$C$22))) + (COS(RADIANS(G524)) * COS(RADIANS('Hydrologie-Méthode rationnelle'!$C$22))) * (COS(RADIANS(H524) - RADIANS('Hydrologie-Méthode rationnelle'!$C$23)))) * 6371)</f>
        <v/>
      </c>
    </row>
    <row r="525" spans="5:5">
      <c r="E525" s="263" t="str">
        <f>IF(OR(G525="",H525=""),"",ACOS((SIN(RADIANS(G525)) * SIN(RADIANS('Hydrologie-Méthode rationnelle'!$C$22))) + (COS(RADIANS(G525)) * COS(RADIANS('Hydrologie-Méthode rationnelle'!$C$22))) * (COS(RADIANS(H525) - RADIANS('Hydrologie-Méthode rationnelle'!$C$23)))) * 6371)</f>
        <v/>
      </c>
    </row>
    <row r="526" spans="5:5">
      <c r="E526" s="263" t="str">
        <f>IF(OR(G526="",H526=""),"",ACOS((SIN(RADIANS(G526)) * SIN(RADIANS('Hydrologie-Méthode rationnelle'!$C$22))) + (COS(RADIANS(G526)) * COS(RADIANS('Hydrologie-Méthode rationnelle'!$C$22))) * (COS(RADIANS(H526) - RADIANS('Hydrologie-Méthode rationnelle'!$C$23)))) * 6371)</f>
        <v/>
      </c>
    </row>
    <row r="527" spans="5:5">
      <c r="E527" s="263" t="str">
        <f>IF(OR(G527="",H527=""),"",ACOS((SIN(RADIANS(G527)) * SIN(RADIANS('Hydrologie-Méthode rationnelle'!$C$22))) + (COS(RADIANS(G527)) * COS(RADIANS('Hydrologie-Méthode rationnelle'!$C$22))) * (COS(RADIANS(H527) - RADIANS('Hydrologie-Méthode rationnelle'!$C$23)))) * 6371)</f>
        <v/>
      </c>
    </row>
    <row r="528" spans="5:5">
      <c r="E528" s="263" t="str">
        <f>IF(OR(G528="",H528=""),"",ACOS((SIN(RADIANS(G528)) * SIN(RADIANS('Hydrologie-Méthode rationnelle'!$C$22))) + (COS(RADIANS(G528)) * COS(RADIANS('Hydrologie-Méthode rationnelle'!$C$22))) * (COS(RADIANS(H528) - RADIANS('Hydrologie-Méthode rationnelle'!$C$23)))) * 6371)</f>
        <v/>
      </c>
    </row>
    <row r="529" spans="5:5">
      <c r="E529" s="263" t="str">
        <f>IF(OR(G529="",H529=""),"",ACOS((SIN(RADIANS(G529)) * SIN(RADIANS('Hydrologie-Méthode rationnelle'!$C$22))) + (COS(RADIANS(G529)) * COS(RADIANS('Hydrologie-Méthode rationnelle'!$C$22))) * (COS(RADIANS(H529) - RADIANS('Hydrologie-Méthode rationnelle'!$C$23)))) * 6371)</f>
        <v/>
      </c>
    </row>
    <row r="530" spans="5:5">
      <c r="E530" s="263" t="str">
        <f>IF(OR(G530="",H530=""),"",ACOS((SIN(RADIANS(G530)) * SIN(RADIANS('Hydrologie-Méthode rationnelle'!$C$22))) + (COS(RADIANS(G530)) * COS(RADIANS('Hydrologie-Méthode rationnelle'!$C$22))) * (COS(RADIANS(H530) - RADIANS('Hydrologie-Méthode rationnelle'!$C$23)))) * 6371)</f>
        <v/>
      </c>
    </row>
    <row r="531" spans="5:5">
      <c r="E531" s="263" t="str">
        <f>IF(OR(G531="",H531=""),"",ACOS((SIN(RADIANS(G531)) * SIN(RADIANS('Hydrologie-Méthode rationnelle'!$C$22))) + (COS(RADIANS(G531)) * COS(RADIANS('Hydrologie-Méthode rationnelle'!$C$22))) * (COS(RADIANS(H531) - RADIANS('Hydrologie-Méthode rationnelle'!$C$23)))) * 6371)</f>
        <v/>
      </c>
    </row>
    <row r="532" spans="5:5">
      <c r="E532" s="263" t="str">
        <f>IF(OR(G532="",H532=""),"",ACOS((SIN(RADIANS(G532)) * SIN(RADIANS('Hydrologie-Méthode rationnelle'!$C$22))) + (COS(RADIANS(G532)) * COS(RADIANS('Hydrologie-Méthode rationnelle'!$C$22))) * (COS(RADIANS(H532) - RADIANS('Hydrologie-Méthode rationnelle'!$C$23)))) * 6371)</f>
        <v/>
      </c>
    </row>
    <row r="533" spans="5:5">
      <c r="E533" s="263" t="str">
        <f>IF(OR(G533="",H533=""),"",ACOS((SIN(RADIANS(G533)) * SIN(RADIANS('Hydrologie-Méthode rationnelle'!$C$22))) + (COS(RADIANS(G533)) * COS(RADIANS('Hydrologie-Méthode rationnelle'!$C$22))) * (COS(RADIANS(H533) - RADIANS('Hydrologie-Méthode rationnelle'!$C$23)))) * 6371)</f>
        <v/>
      </c>
    </row>
    <row r="534" spans="5:5">
      <c r="E534" s="263" t="str">
        <f>IF(OR(G534="",H534=""),"",ACOS((SIN(RADIANS(G534)) * SIN(RADIANS('Hydrologie-Méthode rationnelle'!$C$22))) + (COS(RADIANS(G534)) * COS(RADIANS('Hydrologie-Méthode rationnelle'!$C$22))) * (COS(RADIANS(H534) - RADIANS('Hydrologie-Méthode rationnelle'!$C$23)))) * 6371)</f>
        <v/>
      </c>
    </row>
    <row r="535" spans="5:5">
      <c r="E535" s="263" t="str">
        <f>IF(OR(G535="",H535=""),"",ACOS((SIN(RADIANS(G535)) * SIN(RADIANS('Hydrologie-Méthode rationnelle'!$C$22))) + (COS(RADIANS(G535)) * COS(RADIANS('Hydrologie-Méthode rationnelle'!$C$22))) * (COS(RADIANS(H535) - RADIANS('Hydrologie-Méthode rationnelle'!$C$23)))) * 6371)</f>
        <v/>
      </c>
    </row>
    <row r="536" spans="5:5">
      <c r="E536" s="263" t="str">
        <f>IF(OR(G536="",H536=""),"",ACOS((SIN(RADIANS(G536)) * SIN(RADIANS('Hydrologie-Méthode rationnelle'!$C$22))) + (COS(RADIANS(G536)) * COS(RADIANS('Hydrologie-Méthode rationnelle'!$C$22))) * (COS(RADIANS(H536) - RADIANS('Hydrologie-Méthode rationnelle'!$C$23)))) * 6371)</f>
        <v/>
      </c>
    </row>
    <row r="537" spans="5:5">
      <c r="E537" s="263" t="str">
        <f>IF(OR(G537="",H537=""),"",ACOS((SIN(RADIANS(G537)) * SIN(RADIANS('Hydrologie-Méthode rationnelle'!$C$22))) + (COS(RADIANS(G537)) * COS(RADIANS('Hydrologie-Méthode rationnelle'!$C$22))) * (COS(RADIANS(H537) - RADIANS('Hydrologie-Méthode rationnelle'!$C$23)))) * 6371)</f>
        <v/>
      </c>
    </row>
    <row r="538" spans="5:5">
      <c r="E538" s="263" t="str">
        <f>IF(OR(G538="",H538=""),"",ACOS((SIN(RADIANS(G538)) * SIN(RADIANS('Hydrologie-Méthode rationnelle'!$C$22))) + (COS(RADIANS(G538)) * COS(RADIANS('Hydrologie-Méthode rationnelle'!$C$22))) * (COS(RADIANS(H538) - RADIANS('Hydrologie-Méthode rationnelle'!$C$23)))) * 6371)</f>
        <v/>
      </c>
    </row>
    <row r="539" spans="5:5">
      <c r="E539" s="263" t="str">
        <f>IF(OR(G539="",H539=""),"",ACOS((SIN(RADIANS(G539)) * SIN(RADIANS('Hydrologie-Méthode rationnelle'!$C$22))) + (COS(RADIANS(G539)) * COS(RADIANS('Hydrologie-Méthode rationnelle'!$C$22))) * (COS(RADIANS(H539) - RADIANS('Hydrologie-Méthode rationnelle'!$C$23)))) * 6371)</f>
        <v/>
      </c>
    </row>
    <row r="540" spans="5:5">
      <c r="E540" s="263" t="str">
        <f>IF(OR(G540="",H540=""),"",ACOS((SIN(RADIANS(G540)) * SIN(RADIANS('Hydrologie-Méthode rationnelle'!$C$22))) + (COS(RADIANS(G540)) * COS(RADIANS('Hydrologie-Méthode rationnelle'!$C$22))) * (COS(RADIANS(H540) - RADIANS('Hydrologie-Méthode rationnelle'!$C$23)))) * 6371)</f>
        <v/>
      </c>
    </row>
    <row r="541" spans="5:5">
      <c r="E541" s="263" t="str">
        <f>IF(OR(G541="",H541=""),"",ACOS((SIN(RADIANS(G541)) * SIN(RADIANS('Hydrologie-Méthode rationnelle'!$C$22))) + (COS(RADIANS(G541)) * COS(RADIANS('Hydrologie-Méthode rationnelle'!$C$22))) * (COS(RADIANS(H541) - RADIANS('Hydrologie-Méthode rationnelle'!$C$23)))) * 6371)</f>
        <v/>
      </c>
    </row>
    <row r="542" spans="5:5">
      <c r="E542" s="263" t="str">
        <f>IF(OR(G542="",H542=""),"",ACOS((SIN(RADIANS(G542)) * SIN(RADIANS('Hydrologie-Méthode rationnelle'!$C$22))) + (COS(RADIANS(G542)) * COS(RADIANS('Hydrologie-Méthode rationnelle'!$C$22))) * (COS(RADIANS(H542) - RADIANS('Hydrologie-Méthode rationnelle'!$C$23)))) * 6371)</f>
        <v/>
      </c>
    </row>
    <row r="543" spans="5:5">
      <c r="E543" s="263" t="str">
        <f>IF(OR(G543="",H543=""),"",ACOS((SIN(RADIANS(G543)) * SIN(RADIANS('Hydrologie-Méthode rationnelle'!$C$22))) + (COS(RADIANS(G543)) * COS(RADIANS('Hydrologie-Méthode rationnelle'!$C$22))) * (COS(RADIANS(H543) - RADIANS('Hydrologie-Méthode rationnelle'!$C$23)))) * 6371)</f>
        <v/>
      </c>
    </row>
    <row r="544" spans="5:5">
      <c r="E544" s="263" t="str">
        <f>IF(OR(G544="",H544=""),"",ACOS((SIN(RADIANS(G544)) * SIN(RADIANS('Hydrologie-Méthode rationnelle'!$C$22))) + (COS(RADIANS(G544)) * COS(RADIANS('Hydrologie-Méthode rationnelle'!$C$22))) * (COS(RADIANS(H544) - RADIANS('Hydrologie-Méthode rationnelle'!$C$23)))) * 6371)</f>
        <v/>
      </c>
    </row>
    <row r="545" spans="5:5">
      <c r="E545" s="263" t="str">
        <f>IF(OR(G545="",H545=""),"",ACOS((SIN(RADIANS(G545)) * SIN(RADIANS('Hydrologie-Méthode rationnelle'!$C$22))) + (COS(RADIANS(G545)) * COS(RADIANS('Hydrologie-Méthode rationnelle'!$C$22))) * (COS(RADIANS(H545) - RADIANS('Hydrologie-Méthode rationnelle'!$C$23)))) * 6371)</f>
        <v/>
      </c>
    </row>
    <row r="546" spans="5:5">
      <c r="E546" s="263" t="str">
        <f>IF(OR(G546="",H546=""),"",ACOS((SIN(RADIANS(G546)) * SIN(RADIANS('Hydrologie-Méthode rationnelle'!$C$22))) + (COS(RADIANS(G546)) * COS(RADIANS('Hydrologie-Méthode rationnelle'!$C$22))) * (COS(RADIANS(H546) - RADIANS('Hydrologie-Méthode rationnelle'!$C$23)))) * 6371)</f>
        <v/>
      </c>
    </row>
    <row r="547" spans="5:5">
      <c r="E547" s="263" t="str">
        <f>IF(OR(G547="",H547=""),"",ACOS((SIN(RADIANS(G547)) * SIN(RADIANS('Hydrologie-Méthode rationnelle'!$C$22))) + (COS(RADIANS(G547)) * COS(RADIANS('Hydrologie-Méthode rationnelle'!$C$22))) * (COS(RADIANS(H547) - RADIANS('Hydrologie-Méthode rationnelle'!$C$23)))) * 6371)</f>
        <v/>
      </c>
    </row>
    <row r="548" spans="5:5">
      <c r="E548" s="263" t="str">
        <f>IF(OR(G548="",H548=""),"",ACOS((SIN(RADIANS(G548)) * SIN(RADIANS('Hydrologie-Méthode rationnelle'!$C$22))) + (COS(RADIANS(G548)) * COS(RADIANS('Hydrologie-Méthode rationnelle'!$C$22))) * (COS(RADIANS(H548) - RADIANS('Hydrologie-Méthode rationnelle'!$C$23)))) * 6371)</f>
        <v/>
      </c>
    </row>
    <row r="549" spans="5:5">
      <c r="E549" s="263" t="str">
        <f>IF(OR(G549="",H549=""),"",ACOS((SIN(RADIANS(G549)) * SIN(RADIANS('Hydrologie-Méthode rationnelle'!$C$22))) + (COS(RADIANS(G549)) * COS(RADIANS('Hydrologie-Méthode rationnelle'!$C$22))) * (COS(RADIANS(H549) - RADIANS('Hydrologie-Méthode rationnelle'!$C$23)))) * 6371)</f>
        <v/>
      </c>
    </row>
    <row r="550" spans="5:5">
      <c r="E550" s="263" t="str">
        <f>IF(OR(G550="",H550=""),"",ACOS((SIN(RADIANS(G550)) * SIN(RADIANS('Hydrologie-Méthode rationnelle'!$C$22))) + (COS(RADIANS(G550)) * COS(RADIANS('Hydrologie-Méthode rationnelle'!$C$22))) * (COS(RADIANS(H550) - RADIANS('Hydrologie-Méthode rationnelle'!$C$23)))) * 6371)</f>
        <v/>
      </c>
    </row>
    <row r="551" spans="5:5">
      <c r="E551" s="263" t="str">
        <f>IF(OR(G551="",H551=""),"",ACOS((SIN(RADIANS(G551)) * SIN(RADIANS('Hydrologie-Méthode rationnelle'!$C$22))) + (COS(RADIANS(G551)) * COS(RADIANS('Hydrologie-Méthode rationnelle'!$C$22))) * (COS(RADIANS(H551) - RADIANS('Hydrologie-Méthode rationnelle'!$C$23)))) * 6371)</f>
        <v/>
      </c>
    </row>
    <row r="552" spans="5:5">
      <c r="E552" s="263" t="str">
        <f>IF(OR(G552="",H552=""),"",ACOS((SIN(RADIANS(G552)) * SIN(RADIANS('Hydrologie-Méthode rationnelle'!$C$22))) + (COS(RADIANS(G552)) * COS(RADIANS('Hydrologie-Méthode rationnelle'!$C$22))) * (COS(RADIANS(H552) - RADIANS('Hydrologie-Méthode rationnelle'!$C$23)))) * 6371)</f>
        <v/>
      </c>
    </row>
    <row r="553" spans="5:5">
      <c r="E553" s="263" t="str">
        <f>IF(OR(G553="",H553=""),"",ACOS((SIN(RADIANS(G553)) * SIN(RADIANS('Hydrologie-Méthode rationnelle'!$C$22))) + (COS(RADIANS(G553)) * COS(RADIANS('Hydrologie-Méthode rationnelle'!$C$22))) * (COS(RADIANS(H553) - RADIANS('Hydrologie-Méthode rationnelle'!$C$23)))) * 6371)</f>
        <v/>
      </c>
    </row>
    <row r="554" spans="5:5">
      <c r="E554" s="263" t="str">
        <f>IF(OR(G554="",H554=""),"",ACOS((SIN(RADIANS(G554)) * SIN(RADIANS('Hydrologie-Méthode rationnelle'!$C$22))) + (COS(RADIANS(G554)) * COS(RADIANS('Hydrologie-Méthode rationnelle'!$C$22))) * (COS(RADIANS(H554) - RADIANS('Hydrologie-Méthode rationnelle'!$C$23)))) * 6371)</f>
        <v/>
      </c>
    </row>
    <row r="555" spans="5:5">
      <c r="E555" s="263" t="str">
        <f>IF(OR(G555="",H555=""),"",ACOS((SIN(RADIANS(G555)) * SIN(RADIANS('Hydrologie-Méthode rationnelle'!$C$22))) + (COS(RADIANS(G555)) * COS(RADIANS('Hydrologie-Méthode rationnelle'!$C$22))) * (COS(RADIANS(H555) - RADIANS('Hydrologie-Méthode rationnelle'!$C$23)))) * 6371)</f>
        <v/>
      </c>
    </row>
    <row r="556" spans="5:5">
      <c r="E556" s="263" t="str">
        <f>IF(OR(G556="",H556=""),"",ACOS((SIN(RADIANS(G556)) * SIN(RADIANS('Hydrologie-Méthode rationnelle'!$C$22))) + (COS(RADIANS(G556)) * COS(RADIANS('Hydrologie-Méthode rationnelle'!$C$22))) * (COS(RADIANS(H556) - RADIANS('Hydrologie-Méthode rationnelle'!$C$23)))) * 6371)</f>
        <v/>
      </c>
    </row>
    <row r="557" spans="5:5">
      <c r="E557" s="263" t="str">
        <f>IF(OR(G557="",H557=""),"",ACOS((SIN(RADIANS(G557)) * SIN(RADIANS('Hydrologie-Méthode rationnelle'!$C$22))) + (COS(RADIANS(G557)) * COS(RADIANS('Hydrologie-Méthode rationnelle'!$C$22))) * (COS(RADIANS(H557) - RADIANS('Hydrologie-Méthode rationnelle'!$C$23)))) * 6371)</f>
        <v/>
      </c>
    </row>
    <row r="558" spans="5:5">
      <c r="E558" s="263" t="str">
        <f>IF(OR(G558="",H558=""),"",ACOS((SIN(RADIANS(G558)) * SIN(RADIANS('Hydrologie-Méthode rationnelle'!$C$22))) + (COS(RADIANS(G558)) * COS(RADIANS('Hydrologie-Méthode rationnelle'!$C$22))) * (COS(RADIANS(H558) - RADIANS('Hydrologie-Méthode rationnelle'!$C$23)))) * 6371)</f>
        <v/>
      </c>
    </row>
    <row r="559" spans="5:5">
      <c r="E559" s="263" t="str">
        <f>IF(OR(G559="",H559=""),"",ACOS((SIN(RADIANS(G559)) * SIN(RADIANS('Hydrologie-Méthode rationnelle'!$C$22))) + (COS(RADIANS(G559)) * COS(RADIANS('Hydrologie-Méthode rationnelle'!$C$22))) * (COS(RADIANS(H559) - RADIANS('Hydrologie-Méthode rationnelle'!$C$23)))) * 6371)</f>
        <v/>
      </c>
    </row>
    <row r="560" spans="5:5">
      <c r="E560" s="263" t="str">
        <f>IF(OR(G560="",H560=""),"",ACOS((SIN(RADIANS(G560)) * SIN(RADIANS('Hydrologie-Méthode rationnelle'!$C$22))) + (COS(RADIANS(G560)) * COS(RADIANS('Hydrologie-Méthode rationnelle'!$C$22))) * (COS(RADIANS(H560) - RADIANS('Hydrologie-Méthode rationnelle'!$C$23)))) * 6371)</f>
        <v/>
      </c>
    </row>
    <row r="561" spans="5:5">
      <c r="E561" s="263" t="str">
        <f>IF(OR(G561="",H561=""),"",ACOS((SIN(RADIANS(G561)) * SIN(RADIANS('Hydrologie-Méthode rationnelle'!$C$22))) + (COS(RADIANS(G561)) * COS(RADIANS('Hydrologie-Méthode rationnelle'!$C$22))) * (COS(RADIANS(H561) - RADIANS('Hydrologie-Méthode rationnelle'!$C$23)))) * 6371)</f>
        <v/>
      </c>
    </row>
    <row r="562" spans="5:5">
      <c r="E562" s="263" t="str">
        <f>IF(OR(G562="",H562=""),"",ACOS((SIN(RADIANS(G562)) * SIN(RADIANS('Hydrologie-Méthode rationnelle'!$C$22))) + (COS(RADIANS(G562)) * COS(RADIANS('Hydrologie-Méthode rationnelle'!$C$22))) * (COS(RADIANS(H562) - RADIANS('Hydrologie-Méthode rationnelle'!$C$23)))) * 6371)</f>
        <v/>
      </c>
    </row>
    <row r="563" spans="5:5">
      <c r="E563" s="263" t="str">
        <f>IF(OR(G563="",H563=""),"",ACOS((SIN(RADIANS(G563)) * SIN(RADIANS('Hydrologie-Méthode rationnelle'!$C$22))) + (COS(RADIANS(G563)) * COS(RADIANS('Hydrologie-Méthode rationnelle'!$C$22))) * (COS(RADIANS(H563) - RADIANS('Hydrologie-Méthode rationnelle'!$C$23)))) * 6371)</f>
        <v/>
      </c>
    </row>
    <row r="564" spans="5:5">
      <c r="E564" s="263" t="str">
        <f>IF(OR(G564="",H564=""),"",ACOS((SIN(RADIANS(G564)) * SIN(RADIANS('Hydrologie-Méthode rationnelle'!$C$22))) + (COS(RADIANS(G564)) * COS(RADIANS('Hydrologie-Méthode rationnelle'!$C$22))) * (COS(RADIANS(H564) - RADIANS('Hydrologie-Méthode rationnelle'!$C$23)))) * 6371)</f>
        <v/>
      </c>
    </row>
    <row r="565" spans="5:5">
      <c r="E565" s="263" t="str">
        <f>IF(OR(G565="",H565=""),"",ACOS((SIN(RADIANS(G565)) * SIN(RADIANS('Hydrologie-Méthode rationnelle'!$C$22))) + (COS(RADIANS(G565)) * COS(RADIANS('Hydrologie-Méthode rationnelle'!$C$22))) * (COS(RADIANS(H565) - RADIANS('Hydrologie-Méthode rationnelle'!$C$23)))) * 6371)</f>
        <v/>
      </c>
    </row>
    <row r="566" spans="5:5">
      <c r="E566" s="263" t="str">
        <f>IF(OR(G566="",H566=""),"",ACOS((SIN(RADIANS(G566)) * SIN(RADIANS('Hydrologie-Méthode rationnelle'!$C$22))) + (COS(RADIANS(G566)) * COS(RADIANS('Hydrologie-Méthode rationnelle'!$C$22))) * (COS(RADIANS(H566) - RADIANS('Hydrologie-Méthode rationnelle'!$C$23)))) * 6371)</f>
        <v/>
      </c>
    </row>
    <row r="567" spans="5:5">
      <c r="E567" s="263" t="str">
        <f>IF(OR(G567="",H567=""),"",ACOS((SIN(RADIANS(G567)) * SIN(RADIANS('Hydrologie-Méthode rationnelle'!$C$22))) + (COS(RADIANS(G567)) * COS(RADIANS('Hydrologie-Méthode rationnelle'!$C$22))) * (COS(RADIANS(H567) - RADIANS('Hydrologie-Méthode rationnelle'!$C$23)))) * 6371)</f>
        <v/>
      </c>
    </row>
    <row r="568" spans="5:5">
      <c r="E568" s="263" t="str">
        <f>IF(OR(G568="",H568=""),"",ACOS((SIN(RADIANS(G568)) * SIN(RADIANS('Hydrologie-Méthode rationnelle'!$C$22))) + (COS(RADIANS(G568)) * COS(RADIANS('Hydrologie-Méthode rationnelle'!$C$22))) * (COS(RADIANS(H568) - RADIANS('Hydrologie-Méthode rationnelle'!$C$23)))) * 6371)</f>
        <v/>
      </c>
    </row>
    <row r="569" spans="5:5">
      <c r="E569" s="263" t="str">
        <f>IF(OR(G569="",H569=""),"",ACOS((SIN(RADIANS(G569)) * SIN(RADIANS('Hydrologie-Méthode rationnelle'!$C$22))) + (COS(RADIANS(G569)) * COS(RADIANS('Hydrologie-Méthode rationnelle'!$C$22))) * (COS(RADIANS(H569) - RADIANS('Hydrologie-Méthode rationnelle'!$C$23)))) * 6371)</f>
        <v/>
      </c>
    </row>
    <row r="570" spans="5:5">
      <c r="E570" s="263" t="str">
        <f>IF(OR(G570="",H570=""),"",ACOS((SIN(RADIANS(G570)) * SIN(RADIANS('Hydrologie-Méthode rationnelle'!$C$22))) + (COS(RADIANS(G570)) * COS(RADIANS('Hydrologie-Méthode rationnelle'!$C$22))) * (COS(RADIANS(H570) - RADIANS('Hydrologie-Méthode rationnelle'!$C$23)))) * 6371)</f>
        <v/>
      </c>
    </row>
    <row r="571" spans="5:5">
      <c r="E571" s="263" t="str">
        <f>IF(OR(G571="",H571=""),"",ACOS((SIN(RADIANS(G571)) * SIN(RADIANS('Hydrologie-Méthode rationnelle'!$C$22))) + (COS(RADIANS(G571)) * COS(RADIANS('Hydrologie-Méthode rationnelle'!$C$22))) * (COS(RADIANS(H571) - RADIANS('Hydrologie-Méthode rationnelle'!$C$23)))) * 6371)</f>
        <v/>
      </c>
    </row>
    <row r="572" spans="5:5">
      <c r="E572" s="263" t="str">
        <f>IF(OR(G572="",H572=""),"",ACOS((SIN(RADIANS(G572)) * SIN(RADIANS('Hydrologie-Méthode rationnelle'!$C$22))) + (COS(RADIANS(G572)) * COS(RADIANS('Hydrologie-Méthode rationnelle'!$C$22))) * (COS(RADIANS(H572) - RADIANS('Hydrologie-Méthode rationnelle'!$C$23)))) * 6371)</f>
        <v/>
      </c>
    </row>
    <row r="573" spans="5:5">
      <c r="E573" s="263" t="str">
        <f>IF(OR(G573="",H573=""),"",ACOS((SIN(RADIANS(G573)) * SIN(RADIANS('Hydrologie-Méthode rationnelle'!$C$22))) + (COS(RADIANS(G573)) * COS(RADIANS('Hydrologie-Méthode rationnelle'!$C$22))) * (COS(RADIANS(H573) - RADIANS('Hydrologie-Méthode rationnelle'!$C$23)))) * 6371)</f>
        <v/>
      </c>
    </row>
    <row r="574" spans="5:5">
      <c r="E574" s="263" t="str">
        <f>IF(OR(G574="",H574=""),"",ACOS((SIN(RADIANS(G574)) * SIN(RADIANS('Hydrologie-Méthode rationnelle'!$C$22))) + (COS(RADIANS(G574)) * COS(RADIANS('Hydrologie-Méthode rationnelle'!$C$22))) * (COS(RADIANS(H574) - RADIANS('Hydrologie-Méthode rationnelle'!$C$23)))) * 6371)</f>
        <v/>
      </c>
    </row>
    <row r="575" spans="5:5">
      <c r="E575" s="263" t="str">
        <f>IF(OR(G575="",H575=""),"",ACOS((SIN(RADIANS(G575)) * SIN(RADIANS('Hydrologie-Méthode rationnelle'!$C$22))) + (COS(RADIANS(G575)) * COS(RADIANS('Hydrologie-Méthode rationnelle'!$C$22))) * (COS(RADIANS(H575) - RADIANS('Hydrologie-Méthode rationnelle'!$C$23)))) * 6371)</f>
        <v/>
      </c>
    </row>
    <row r="576" spans="5:5">
      <c r="E576" s="263" t="str">
        <f>IF(OR(G576="",H576=""),"",ACOS((SIN(RADIANS(G576)) * SIN(RADIANS('Hydrologie-Méthode rationnelle'!$C$22))) + (COS(RADIANS(G576)) * COS(RADIANS('Hydrologie-Méthode rationnelle'!$C$22))) * (COS(RADIANS(H576) - RADIANS('Hydrologie-Méthode rationnelle'!$C$23)))) * 6371)</f>
        <v/>
      </c>
    </row>
    <row r="577" spans="5:5">
      <c r="E577" s="263" t="str">
        <f>IF(OR(G577="",H577=""),"",ACOS((SIN(RADIANS(G577)) * SIN(RADIANS('Hydrologie-Méthode rationnelle'!$C$22))) + (COS(RADIANS(G577)) * COS(RADIANS('Hydrologie-Méthode rationnelle'!$C$22))) * (COS(RADIANS(H577) - RADIANS('Hydrologie-Méthode rationnelle'!$C$23)))) * 6371)</f>
        <v/>
      </c>
    </row>
    <row r="578" spans="5:5">
      <c r="E578" s="263" t="str">
        <f>IF(OR(G578="",H578=""),"",ACOS((SIN(RADIANS(G578)) * SIN(RADIANS('Hydrologie-Méthode rationnelle'!$C$22))) + (COS(RADIANS(G578)) * COS(RADIANS('Hydrologie-Méthode rationnelle'!$C$22))) * (COS(RADIANS(H578) - RADIANS('Hydrologie-Méthode rationnelle'!$C$23)))) * 6371)</f>
        <v/>
      </c>
    </row>
    <row r="579" spans="5:5">
      <c r="E579" s="263" t="str">
        <f>IF(OR(G579="",H579=""),"",ACOS((SIN(RADIANS(G579)) * SIN(RADIANS('Hydrologie-Méthode rationnelle'!$C$22))) + (COS(RADIANS(G579)) * COS(RADIANS('Hydrologie-Méthode rationnelle'!$C$22))) * (COS(RADIANS(H579) - RADIANS('Hydrologie-Méthode rationnelle'!$C$23)))) * 6371)</f>
        <v/>
      </c>
    </row>
    <row r="580" spans="5:5">
      <c r="E580" s="263" t="str">
        <f>IF(OR(G580="",H580=""),"",ACOS((SIN(RADIANS(G580)) * SIN(RADIANS('Hydrologie-Méthode rationnelle'!$C$22))) + (COS(RADIANS(G580)) * COS(RADIANS('Hydrologie-Méthode rationnelle'!$C$22))) * (COS(RADIANS(H580) - RADIANS('Hydrologie-Méthode rationnelle'!$C$23)))) * 6371)</f>
        <v/>
      </c>
    </row>
    <row r="581" spans="5:5">
      <c r="E581" s="263" t="str">
        <f>IF(OR(G581="",H581=""),"",ACOS((SIN(RADIANS(G581)) * SIN(RADIANS('Hydrologie-Méthode rationnelle'!$C$22))) + (COS(RADIANS(G581)) * COS(RADIANS('Hydrologie-Méthode rationnelle'!$C$22))) * (COS(RADIANS(H581) - RADIANS('Hydrologie-Méthode rationnelle'!$C$23)))) * 6371)</f>
        <v/>
      </c>
    </row>
    <row r="582" spans="5:5">
      <c r="E582" s="263" t="str">
        <f>IF(OR(G582="",H582=""),"",ACOS((SIN(RADIANS(G582)) * SIN(RADIANS('Hydrologie-Méthode rationnelle'!$C$22))) + (COS(RADIANS(G582)) * COS(RADIANS('Hydrologie-Méthode rationnelle'!$C$22))) * (COS(RADIANS(H582) - RADIANS('Hydrologie-Méthode rationnelle'!$C$23)))) * 6371)</f>
        <v/>
      </c>
    </row>
    <row r="583" spans="5:5">
      <c r="E583" s="263" t="str">
        <f>IF(OR(G583="",H583=""),"",ACOS((SIN(RADIANS(G583)) * SIN(RADIANS('Hydrologie-Méthode rationnelle'!$C$22))) + (COS(RADIANS(G583)) * COS(RADIANS('Hydrologie-Méthode rationnelle'!$C$22))) * (COS(RADIANS(H583) - RADIANS('Hydrologie-Méthode rationnelle'!$C$23)))) * 6371)</f>
        <v/>
      </c>
    </row>
    <row r="584" spans="5:5">
      <c r="E584" s="263" t="str">
        <f>IF(OR(G584="",H584=""),"",ACOS((SIN(RADIANS(G584)) * SIN(RADIANS('Hydrologie-Méthode rationnelle'!$C$22))) + (COS(RADIANS(G584)) * COS(RADIANS('Hydrologie-Méthode rationnelle'!$C$22))) * (COS(RADIANS(H584) - RADIANS('Hydrologie-Méthode rationnelle'!$C$23)))) * 6371)</f>
        <v/>
      </c>
    </row>
    <row r="585" spans="5:5">
      <c r="E585" s="263" t="str">
        <f>IF(OR(G585="",H585=""),"",ACOS((SIN(RADIANS(G585)) * SIN(RADIANS('Hydrologie-Méthode rationnelle'!$C$22))) + (COS(RADIANS(G585)) * COS(RADIANS('Hydrologie-Méthode rationnelle'!$C$22))) * (COS(RADIANS(H585) - RADIANS('Hydrologie-Méthode rationnelle'!$C$23)))) * 6371)</f>
        <v/>
      </c>
    </row>
    <row r="586" spans="5:5">
      <c r="E586" s="263" t="str">
        <f>IF(OR(G586="",H586=""),"",ACOS((SIN(RADIANS(G586)) * SIN(RADIANS('Hydrologie-Méthode rationnelle'!$C$22))) + (COS(RADIANS(G586)) * COS(RADIANS('Hydrologie-Méthode rationnelle'!$C$22))) * (COS(RADIANS(H586) - RADIANS('Hydrologie-Méthode rationnelle'!$C$23)))) * 6371)</f>
        <v/>
      </c>
    </row>
    <row r="587" spans="5:5">
      <c r="E587" s="263" t="str">
        <f>IF(OR(G587="",H587=""),"",ACOS((SIN(RADIANS(G587)) * SIN(RADIANS('Hydrologie-Méthode rationnelle'!$C$22))) + (COS(RADIANS(G587)) * COS(RADIANS('Hydrologie-Méthode rationnelle'!$C$22))) * (COS(RADIANS(H587) - RADIANS('Hydrologie-Méthode rationnelle'!$C$23)))) * 6371)</f>
        <v/>
      </c>
    </row>
    <row r="588" spans="5:5">
      <c r="E588" s="263" t="str">
        <f>IF(OR(G588="",H588=""),"",ACOS((SIN(RADIANS(G588)) * SIN(RADIANS('Hydrologie-Méthode rationnelle'!$C$22))) + (COS(RADIANS(G588)) * COS(RADIANS('Hydrologie-Méthode rationnelle'!$C$22))) * (COS(RADIANS(H588) - RADIANS('Hydrologie-Méthode rationnelle'!$C$23)))) * 6371)</f>
        <v/>
      </c>
    </row>
    <row r="589" spans="5:5">
      <c r="E589" s="263" t="str">
        <f>IF(OR(G589="",H589=""),"",ACOS((SIN(RADIANS(G589)) * SIN(RADIANS('Hydrologie-Méthode rationnelle'!$C$22))) + (COS(RADIANS(G589)) * COS(RADIANS('Hydrologie-Méthode rationnelle'!$C$22))) * (COS(RADIANS(H589) - RADIANS('Hydrologie-Méthode rationnelle'!$C$23)))) * 6371)</f>
        <v/>
      </c>
    </row>
    <row r="590" spans="5:5">
      <c r="E590" s="263" t="str">
        <f>IF(OR(G590="",H590=""),"",ACOS((SIN(RADIANS(G590)) * SIN(RADIANS('Hydrologie-Méthode rationnelle'!$C$22))) + (COS(RADIANS(G590)) * COS(RADIANS('Hydrologie-Méthode rationnelle'!$C$22))) * (COS(RADIANS(H590) - RADIANS('Hydrologie-Méthode rationnelle'!$C$23)))) * 6371)</f>
        <v/>
      </c>
    </row>
    <row r="591" spans="5:5">
      <c r="E591" s="263" t="str">
        <f>IF(OR(G591="",H591=""),"",ACOS((SIN(RADIANS(G591)) * SIN(RADIANS('Hydrologie-Méthode rationnelle'!$C$22))) + (COS(RADIANS(G591)) * COS(RADIANS('Hydrologie-Méthode rationnelle'!$C$22))) * (COS(RADIANS(H591) - RADIANS('Hydrologie-Méthode rationnelle'!$C$23)))) * 6371)</f>
        <v/>
      </c>
    </row>
    <row r="592" spans="5:5">
      <c r="E592" s="263" t="str">
        <f>IF(OR(G592="",H592=""),"",ACOS((SIN(RADIANS(G592)) * SIN(RADIANS('Hydrologie-Méthode rationnelle'!$C$22))) + (COS(RADIANS(G592)) * COS(RADIANS('Hydrologie-Méthode rationnelle'!$C$22))) * (COS(RADIANS(H592) - RADIANS('Hydrologie-Méthode rationnelle'!$C$23)))) * 6371)</f>
        <v/>
      </c>
    </row>
    <row r="593" spans="5:5">
      <c r="E593" s="263" t="str">
        <f>IF(OR(G593="",H593=""),"",ACOS((SIN(RADIANS(G593)) * SIN(RADIANS('Hydrologie-Méthode rationnelle'!$C$22))) + (COS(RADIANS(G593)) * COS(RADIANS('Hydrologie-Méthode rationnelle'!$C$22))) * (COS(RADIANS(H593) - RADIANS('Hydrologie-Méthode rationnelle'!$C$23)))) * 6371)</f>
        <v/>
      </c>
    </row>
    <row r="594" spans="5:5">
      <c r="E594" s="263" t="str">
        <f>IF(OR(G594="",H594=""),"",ACOS((SIN(RADIANS(G594)) * SIN(RADIANS('Hydrologie-Méthode rationnelle'!$C$22))) + (COS(RADIANS(G594)) * COS(RADIANS('Hydrologie-Méthode rationnelle'!$C$22))) * (COS(RADIANS(H594) - RADIANS('Hydrologie-Méthode rationnelle'!$C$23)))) * 6371)</f>
        <v/>
      </c>
    </row>
    <row r="595" spans="5:5">
      <c r="E595" s="263" t="str">
        <f>IF(OR(G595="",H595=""),"",ACOS((SIN(RADIANS(G595)) * SIN(RADIANS('Hydrologie-Méthode rationnelle'!$C$22))) + (COS(RADIANS(G595)) * COS(RADIANS('Hydrologie-Méthode rationnelle'!$C$22))) * (COS(RADIANS(H595) - RADIANS('Hydrologie-Méthode rationnelle'!$C$23)))) * 6371)</f>
        <v/>
      </c>
    </row>
    <row r="596" spans="5:5">
      <c r="E596" s="263" t="str">
        <f>IF(OR(G596="",H596=""),"",ACOS((SIN(RADIANS(G596)) * SIN(RADIANS('Hydrologie-Méthode rationnelle'!$C$22))) + (COS(RADIANS(G596)) * COS(RADIANS('Hydrologie-Méthode rationnelle'!$C$22))) * (COS(RADIANS(H596) - RADIANS('Hydrologie-Méthode rationnelle'!$C$23)))) * 6371)</f>
        <v/>
      </c>
    </row>
    <row r="597" spans="5:5">
      <c r="E597" s="263" t="str">
        <f>IF(OR(G597="",H597=""),"",ACOS((SIN(RADIANS(G597)) * SIN(RADIANS('Hydrologie-Méthode rationnelle'!$C$22))) + (COS(RADIANS(G597)) * COS(RADIANS('Hydrologie-Méthode rationnelle'!$C$22))) * (COS(RADIANS(H597) - RADIANS('Hydrologie-Méthode rationnelle'!$C$23)))) * 6371)</f>
        <v/>
      </c>
    </row>
    <row r="598" spans="5:5">
      <c r="E598" s="263" t="str">
        <f>IF(OR(G598="",H598=""),"",ACOS((SIN(RADIANS(G598)) * SIN(RADIANS('Hydrologie-Méthode rationnelle'!$C$22))) + (COS(RADIANS(G598)) * COS(RADIANS('Hydrologie-Méthode rationnelle'!$C$22))) * (COS(RADIANS(H598) - RADIANS('Hydrologie-Méthode rationnelle'!$C$23)))) * 6371)</f>
        <v/>
      </c>
    </row>
    <row r="599" spans="5:5">
      <c r="E599" s="263" t="str">
        <f>IF(OR(G599="",H599=""),"",ACOS((SIN(RADIANS(G599)) * SIN(RADIANS('Hydrologie-Méthode rationnelle'!$C$22))) + (COS(RADIANS(G599)) * COS(RADIANS('Hydrologie-Méthode rationnelle'!$C$22))) * (COS(RADIANS(H599) - RADIANS('Hydrologie-Méthode rationnelle'!$C$23)))) * 6371)</f>
        <v/>
      </c>
    </row>
    <row r="600" spans="5:5">
      <c r="E600" s="263" t="str">
        <f>IF(OR(G600="",H600=""),"",ACOS((SIN(RADIANS(G600)) * SIN(RADIANS('Hydrologie-Méthode rationnelle'!$C$22))) + (COS(RADIANS(G600)) * COS(RADIANS('Hydrologie-Méthode rationnelle'!$C$22))) * (COS(RADIANS(H600) - RADIANS('Hydrologie-Méthode rationnelle'!$C$23)))) * 6371)</f>
        <v/>
      </c>
    </row>
    <row r="601" spans="5:5">
      <c r="E601" s="263" t="str">
        <f>IF(OR(G601="",H601=""),"",ACOS((SIN(RADIANS(G601)) * SIN(RADIANS('Hydrologie-Méthode rationnelle'!$C$22))) + (COS(RADIANS(G601)) * COS(RADIANS('Hydrologie-Méthode rationnelle'!$C$22))) * (COS(RADIANS(H601) - RADIANS('Hydrologie-Méthode rationnelle'!$C$23)))) * 6371)</f>
        <v/>
      </c>
    </row>
    <row r="602" spans="5:5">
      <c r="E602" s="263" t="str">
        <f>IF(OR(G602="",H602=""),"",ACOS((SIN(RADIANS(G602)) * SIN(RADIANS('Hydrologie-Méthode rationnelle'!$C$22))) + (COS(RADIANS(G602)) * COS(RADIANS('Hydrologie-Méthode rationnelle'!$C$22))) * (COS(RADIANS(H602) - RADIANS('Hydrologie-Méthode rationnelle'!$C$23)))) * 6371)</f>
        <v/>
      </c>
    </row>
    <row r="603" spans="5:5">
      <c r="E603" s="263" t="str">
        <f>IF(OR(G603="",H603=""),"",ACOS((SIN(RADIANS(G603)) * SIN(RADIANS('Hydrologie-Méthode rationnelle'!$C$22))) + (COS(RADIANS(G603)) * COS(RADIANS('Hydrologie-Méthode rationnelle'!$C$22))) * (COS(RADIANS(H603) - RADIANS('Hydrologie-Méthode rationnelle'!$C$23)))) * 6371)</f>
        <v/>
      </c>
    </row>
    <row r="604" spans="5:5">
      <c r="E604" s="263" t="str">
        <f>IF(OR(G604="",H604=""),"",ACOS((SIN(RADIANS(G604)) * SIN(RADIANS('Hydrologie-Méthode rationnelle'!$C$22))) + (COS(RADIANS(G604)) * COS(RADIANS('Hydrologie-Méthode rationnelle'!$C$22))) * (COS(RADIANS(H604) - RADIANS('Hydrologie-Méthode rationnelle'!$C$23)))) * 6371)</f>
        <v/>
      </c>
    </row>
    <row r="605" spans="5:5">
      <c r="E605" s="263" t="str">
        <f>IF(OR(G605="",H605=""),"",ACOS((SIN(RADIANS(G605)) * SIN(RADIANS('Hydrologie-Méthode rationnelle'!$C$22))) + (COS(RADIANS(G605)) * COS(RADIANS('Hydrologie-Méthode rationnelle'!$C$22))) * (COS(RADIANS(H605) - RADIANS('Hydrologie-Méthode rationnelle'!$C$23)))) * 6371)</f>
        <v/>
      </c>
    </row>
    <row r="606" spans="5:5">
      <c r="E606" s="263" t="str">
        <f>IF(OR(G606="",H606=""),"",ACOS((SIN(RADIANS(G606)) * SIN(RADIANS('Hydrologie-Méthode rationnelle'!$C$22))) + (COS(RADIANS(G606)) * COS(RADIANS('Hydrologie-Méthode rationnelle'!$C$22))) * (COS(RADIANS(H606) - RADIANS('Hydrologie-Méthode rationnelle'!$C$23)))) * 6371)</f>
        <v/>
      </c>
    </row>
    <row r="607" spans="5:5">
      <c r="E607" s="263" t="str">
        <f>IF(OR(G607="",H607=""),"",ACOS((SIN(RADIANS(G607)) * SIN(RADIANS('Hydrologie-Méthode rationnelle'!$C$22))) + (COS(RADIANS(G607)) * COS(RADIANS('Hydrologie-Méthode rationnelle'!$C$22))) * (COS(RADIANS(H607) - RADIANS('Hydrologie-Méthode rationnelle'!$C$23)))) * 6371)</f>
        <v/>
      </c>
    </row>
    <row r="608" spans="5:5">
      <c r="E608" s="263" t="str">
        <f>IF(OR(G608="",H608=""),"",ACOS((SIN(RADIANS(G608)) * SIN(RADIANS('Hydrologie-Méthode rationnelle'!$C$22))) + (COS(RADIANS(G608)) * COS(RADIANS('Hydrologie-Méthode rationnelle'!$C$22))) * (COS(RADIANS(H608) - RADIANS('Hydrologie-Méthode rationnelle'!$C$23)))) * 6371)</f>
        <v/>
      </c>
    </row>
    <row r="609" spans="5:5">
      <c r="E609" s="263" t="str">
        <f>IF(OR(G609="",H609=""),"",ACOS((SIN(RADIANS(G609)) * SIN(RADIANS('Hydrologie-Méthode rationnelle'!$C$22))) + (COS(RADIANS(G609)) * COS(RADIANS('Hydrologie-Méthode rationnelle'!$C$22))) * (COS(RADIANS(H609) - RADIANS('Hydrologie-Méthode rationnelle'!$C$23)))) * 6371)</f>
        <v/>
      </c>
    </row>
    <row r="610" spans="5:5">
      <c r="E610" s="263" t="str">
        <f>IF(OR(G610="",H610=""),"",ACOS((SIN(RADIANS(G610)) * SIN(RADIANS('Hydrologie-Méthode rationnelle'!$C$22))) + (COS(RADIANS(G610)) * COS(RADIANS('Hydrologie-Méthode rationnelle'!$C$22))) * (COS(RADIANS(H610) - RADIANS('Hydrologie-Méthode rationnelle'!$C$23)))) * 6371)</f>
        <v/>
      </c>
    </row>
    <row r="611" spans="5:5">
      <c r="E611" s="263" t="str">
        <f>IF(OR(G611="",H611=""),"",ACOS((SIN(RADIANS(G611)) * SIN(RADIANS('Hydrologie-Méthode rationnelle'!$C$22))) + (COS(RADIANS(G611)) * COS(RADIANS('Hydrologie-Méthode rationnelle'!$C$22))) * (COS(RADIANS(H611) - RADIANS('Hydrologie-Méthode rationnelle'!$C$23)))) * 6371)</f>
        <v/>
      </c>
    </row>
    <row r="612" spans="5:5">
      <c r="E612" s="263" t="str">
        <f>IF(OR(G612="",H612=""),"",ACOS((SIN(RADIANS(G612)) * SIN(RADIANS('Hydrologie-Méthode rationnelle'!$C$22))) + (COS(RADIANS(G612)) * COS(RADIANS('Hydrologie-Méthode rationnelle'!$C$22))) * (COS(RADIANS(H612) - RADIANS('Hydrologie-Méthode rationnelle'!$C$23)))) * 6371)</f>
        <v/>
      </c>
    </row>
    <row r="613" spans="5:5">
      <c r="E613" s="263" t="str">
        <f>IF(OR(G613="",H613=""),"",ACOS((SIN(RADIANS(G613)) * SIN(RADIANS('Hydrologie-Méthode rationnelle'!$C$22))) + (COS(RADIANS(G613)) * COS(RADIANS('Hydrologie-Méthode rationnelle'!$C$22))) * (COS(RADIANS(H613) - RADIANS('Hydrologie-Méthode rationnelle'!$C$23)))) * 6371)</f>
        <v/>
      </c>
    </row>
    <row r="614" spans="5:5">
      <c r="E614" s="263" t="str">
        <f>IF(OR(C614="",D614=""),"",ACOS((SIN(RADIANS(C614)) * SIN(RADIANS('Hydrologie-Méthode rationnelle'!$C$22))) + (COS(RADIANS(C614)) * COS(RADIANS('Hydrologie-Méthode rationnelle'!$C$22))) * (COS(RADIANS(D614) - RADIANS('Hydrologie-Méthode rationnelle'!$C$23)))) * 6371)</f>
        <v/>
      </c>
    </row>
    <row r="615" spans="5:5">
      <c r="E615" s="263" t="str">
        <f>IF(OR(C615="",D615=""),"",ACOS((SIN(RADIANS(C615)) * SIN(RADIANS('Hydrologie-Méthode rationnelle'!$C$22))) + (COS(RADIANS(C615)) * COS(RADIANS('Hydrologie-Méthode rationnelle'!$C$22))) * (COS(RADIANS(D615) - RADIANS('Hydrologie-Méthode rationnelle'!$C$23)))) * 6371)</f>
        <v/>
      </c>
    </row>
    <row r="616" spans="5:5">
      <c r="E616" s="263" t="str">
        <f>IF(OR(C616="",D616=""),"",ACOS((SIN(RADIANS(C616)) * SIN(RADIANS('Hydrologie-Méthode rationnelle'!$C$22))) + (COS(RADIANS(C616)) * COS(RADIANS('Hydrologie-Méthode rationnelle'!$C$22))) * (COS(RADIANS(D616) - RADIANS('Hydrologie-Méthode rationnelle'!$C$23)))) * 6371)</f>
        <v/>
      </c>
    </row>
    <row r="617" spans="5:5">
      <c r="E617" s="263" t="str">
        <f>IF(OR(C617="",D617=""),"",ACOS((SIN(RADIANS(C617)) * SIN(RADIANS('Hydrologie-Méthode rationnelle'!$C$22))) + (COS(RADIANS(C617)) * COS(RADIANS('Hydrologie-Méthode rationnelle'!$C$22))) * (COS(RADIANS(D617) - RADIANS('Hydrologie-Méthode rationnelle'!$C$23)))) * 6371)</f>
        <v/>
      </c>
    </row>
    <row r="618" spans="5:5">
      <c r="E618" s="263" t="str">
        <f>IF(OR(C618="",D618=""),"",ACOS((SIN(RADIANS(C618)) * SIN(RADIANS('Hydrologie-Méthode rationnelle'!$C$22))) + (COS(RADIANS(C618)) * COS(RADIANS('Hydrologie-Méthode rationnelle'!$C$22))) * (COS(RADIANS(D618) - RADIANS('Hydrologie-Méthode rationnelle'!$C$23)))) * 6371)</f>
        <v/>
      </c>
    </row>
    <row r="619" spans="5:5">
      <c r="E619" s="263" t="str">
        <f>IF(OR(C619="",D619=""),"",ACOS((SIN(RADIANS(C619)) * SIN(RADIANS('Hydrologie-Méthode rationnelle'!$C$22))) + (COS(RADIANS(C619)) * COS(RADIANS('Hydrologie-Méthode rationnelle'!$C$22))) * (COS(RADIANS(D619) - RADIANS('Hydrologie-Méthode rationnelle'!$C$23)))) * 6371)</f>
        <v/>
      </c>
    </row>
    <row r="620" spans="5:5">
      <c r="E620" s="263" t="str">
        <f>IF(OR(C620="",D620=""),"",ACOS((SIN(RADIANS(C620)) * SIN(RADIANS('Hydrologie-Méthode rationnelle'!$C$22))) + (COS(RADIANS(C620)) * COS(RADIANS('Hydrologie-Méthode rationnelle'!$C$22))) * (COS(RADIANS(D620) - RADIANS('Hydrologie-Méthode rationnelle'!$C$23)))) * 6371)</f>
        <v/>
      </c>
    </row>
    <row r="621" spans="5:5">
      <c r="E621" s="263" t="str">
        <f>IF(OR(C621="",D621=""),"",ACOS((SIN(RADIANS(C621)) * SIN(RADIANS('Hydrologie-Méthode rationnelle'!$C$22))) + (COS(RADIANS(C621)) * COS(RADIANS('Hydrologie-Méthode rationnelle'!$C$22))) * (COS(RADIANS(D621) - RADIANS('Hydrologie-Méthode rationnelle'!$C$23)))) * 6371)</f>
        <v/>
      </c>
    </row>
    <row r="622" spans="5:5">
      <c r="E622" s="263" t="str">
        <f>IF(OR(C622="",D622=""),"",ACOS((SIN(RADIANS(C622)) * SIN(RADIANS('Hydrologie-Méthode rationnelle'!$C$22))) + (COS(RADIANS(C622)) * COS(RADIANS('Hydrologie-Méthode rationnelle'!$C$22))) * (COS(RADIANS(D622) - RADIANS('Hydrologie-Méthode rationnelle'!$C$23)))) * 6371)</f>
        <v/>
      </c>
    </row>
    <row r="623" spans="5:5">
      <c r="E623" s="263" t="str">
        <f>IF(OR(C623="",D623=""),"",ACOS((SIN(RADIANS(C623)) * SIN(RADIANS('Hydrologie-Méthode rationnelle'!$C$22))) + (COS(RADIANS(C623)) * COS(RADIANS('Hydrologie-Méthode rationnelle'!$C$22))) * (COS(RADIANS(D623) - RADIANS('Hydrologie-Méthode rationnelle'!$C$23)))) * 6371)</f>
        <v/>
      </c>
    </row>
    <row r="624" spans="5:5">
      <c r="E624" s="263" t="str">
        <f>IF(OR(C624="",D624=""),"",ACOS((SIN(RADIANS(C624)) * SIN(RADIANS('Hydrologie-Méthode rationnelle'!$C$22))) + (COS(RADIANS(C624)) * COS(RADIANS('Hydrologie-Méthode rationnelle'!$C$22))) * (COS(RADIANS(D624) - RADIANS('Hydrologie-Méthode rationnelle'!$C$23)))) * 6371)</f>
        <v/>
      </c>
    </row>
    <row r="625" spans="5:5">
      <c r="E625" s="263" t="str">
        <f>IF(OR(C625="",D625=""),"",ACOS((SIN(RADIANS(C625)) * SIN(RADIANS('Hydrologie-Méthode rationnelle'!$C$22))) + (COS(RADIANS(C625)) * COS(RADIANS('Hydrologie-Méthode rationnelle'!$C$22))) * (COS(RADIANS(D625) - RADIANS('Hydrologie-Méthode rationnelle'!$C$23)))) * 6371)</f>
        <v/>
      </c>
    </row>
    <row r="626" spans="5:5">
      <c r="E626" s="263" t="str">
        <f>IF(OR(C626="",D626=""),"",ACOS((SIN(RADIANS(C626)) * SIN(RADIANS('Hydrologie-Méthode rationnelle'!$C$22))) + (COS(RADIANS(C626)) * COS(RADIANS('Hydrologie-Méthode rationnelle'!$C$22))) * (COS(RADIANS(D626) - RADIANS('Hydrologie-Méthode rationnelle'!$C$23)))) * 6371)</f>
        <v/>
      </c>
    </row>
    <row r="627" spans="5:5">
      <c r="E627" s="263" t="str">
        <f>IF(OR(C627="",D627=""),"",ACOS((SIN(RADIANS(C627)) * SIN(RADIANS('Hydrologie-Méthode rationnelle'!$C$22))) + (COS(RADIANS(C627)) * COS(RADIANS('Hydrologie-Méthode rationnelle'!$C$22))) * (COS(RADIANS(D627) - RADIANS('Hydrologie-Méthode rationnelle'!$C$23)))) * 6371)</f>
        <v/>
      </c>
    </row>
    <row r="628" spans="5:5">
      <c r="E628" s="263" t="str">
        <f>IF(OR(C628="",D628=""),"",ACOS((SIN(RADIANS(C628)) * SIN(RADIANS('Hydrologie-Méthode rationnelle'!$C$22))) + (COS(RADIANS(C628)) * COS(RADIANS('Hydrologie-Méthode rationnelle'!$C$22))) * (COS(RADIANS(D628) - RADIANS('Hydrologie-Méthode rationnelle'!$C$23)))) * 6371)</f>
        <v/>
      </c>
    </row>
    <row r="629" spans="5:5">
      <c r="E629" s="263" t="str">
        <f>IF(OR(C629="",D629=""),"",ACOS((SIN(RADIANS(C629)) * SIN(RADIANS('Hydrologie-Méthode rationnelle'!$C$22))) + (COS(RADIANS(C629)) * COS(RADIANS('Hydrologie-Méthode rationnelle'!$C$22))) * (COS(RADIANS(D629) - RADIANS('Hydrologie-Méthode rationnelle'!$C$23)))) * 6371)</f>
        <v/>
      </c>
    </row>
    <row r="630" spans="5:5">
      <c r="E630" s="263" t="str">
        <f>IF(OR(C630="",D630=""),"",ACOS((SIN(RADIANS(C630)) * SIN(RADIANS('Hydrologie-Méthode rationnelle'!$C$22))) + (COS(RADIANS(C630)) * COS(RADIANS('Hydrologie-Méthode rationnelle'!$C$22))) * (COS(RADIANS(D630) - RADIANS('Hydrologie-Méthode rationnelle'!$C$23)))) * 6371)</f>
        <v/>
      </c>
    </row>
    <row r="631" spans="5:5">
      <c r="E631" s="263" t="str">
        <f>IF(OR(C631="",D631=""),"",ACOS((SIN(RADIANS(C631)) * SIN(RADIANS('Hydrologie-Méthode rationnelle'!$C$22))) + (COS(RADIANS(C631)) * COS(RADIANS('Hydrologie-Méthode rationnelle'!$C$22))) * (COS(RADIANS(D631) - RADIANS('Hydrologie-Méthode rationnelle'!$C$23)))) * 6371)</f>
        <v/>
      </c>
    </row>
    <row r="632" spans="5:5">
      <c r="E632" s="263" t="str">
        <f>IF(OR(C632="",D632=""),"",ACOS((SIN(RADIANS(C632)) * SIN(RADIANS('Hydrologie-Méthode rationnelle'!$C$22))) + (COS(RADIANS(C632)) * COS(RADIANS('Hydrologie-Méthode rationnelle'!$C$22))) * (COS(RADIANS(D632) - RADIANS('Hydrologie-Méthode rationnelle'!$C$23)))) * 6371)</f>
        <v/>
      </c>
    </row>
    <row r="633" spans="5:5">
      <c r="E633" s="263" t="str">
        <f>IF(OR(C633="",D633=""),"",ACOS((SIN(RADIANS(C633)) * SIN(RADIANS('Hydrologie-Méthode rationnelle'!$C$22))) + (COS(RADIANS(C633)) * COS(RADIANS('Hydrologie-Méthode rationnelle'!$C$22))) * (COS(RADIANS(D633) - RADIANS('Hydrologie-Méthode rationnelle'!$C$23)))) * 6371)</f>
        <v/>
      </c>
    </row>
    <row r="634" spans="5:5">
      <c r="E634" s="263" t="str">
        <f>IF(OR(C634="",D634=""),"",ACOS((SIN(RADIANS(C634)) * SIN(RADIANS('Hydrologie-Méthode rationnelle'!$C$22))) + (COS(RADIANS(C634)) * COS(RADIANS('Hydrologie-Méthode rationnelle'!$C$22))) * (COS(RADIANS(D634) - RADIANS('Hydrologie-Méthode rationnelle'!$C$23)))) * 6371)</f>
        <v/>
      </c>
    </row>
    <row r="635" spans="5:5">
      <c r="E635" s="263" t="str">
        <f>IF(OR(C635="",D635=""),"",ACOS((SIN(RADIANS(C635)) * SIN(RADIANS('Hydrologie-Méthode rationnelle'!$C$22))) + (COS(RADIANS(C635)) * COS(RADIANS('Hydrologie-Méthode rationnelle'!$C$22))) * (COS(RADIANS(D635) - RADIANS('Hydrologie-Méthode rationnelle'!$C$23)))) * 6371)</f>
        <v/>
      </c>
    </row>
    <row r="636" spans="5:5">
      <c r="E636" s="263" t="str">
        <f>IF(OR(C636="",D636=""),"",ACOS((SIN(RADIANS(C636)) * SIN(RADIANS('Hydrologie-Méthode rationnelle'!$C$22))) + (COS(RADIANS(C636)) * COS(RADIANS('Hydrologie-Méthode rationnelle'!$C$22))) * (COS(RADIANS(D636) - RADIANS('Hydrologie-Méthode rationnelle'!$C$23)))) * 6371)</f>
        <v/>
      </c>
    </row>
    <row r="637" spans="5:5">
      <c r="E637" s="263" t="str">
        <f>IF(OR(C637="",D637=""),"",ACOS((SIN(RADIANS(C637)) * SIN(RADIANS('Hydrologie-Méthode rationnelle'!$C$22))) + (COS(RADIANS(C637)) * COS(RADIANS('Hydrologie-Méthode rationnelle'!$C$22))) * (COS(RADIANS(D637) - RADIANS('Hydrologie-Méthode rationnelle'!$C$23)))) * 6371)</f>
        <v/>
      </c>
    </row>
    <row r="638" spans="5:5">
      <c r="E638" s="263" t="str">
        <f>IF(OR(C638="",D638=""),"",ACOS((SIN(RADIANS(C638)) * SIN(RADIANS('Hydrologie-Méthode rationnelle'!$C$22))) + (COS(RADIANS(C638)) * COS(RADIANS('Hydrologie-Méthode rationnelle'!$C$22))) * (COS(RADIANS(D638) - RADIANS('Hydrologie-Méthode rationnelle'!$C$23)))) * 6371)</f>
        <v/>
      </c>
    </row>
    <row r="639" spans="5:5">
      <c r="E639" s="263" t="str">
        <f>IF(OR(C639="",D639=""),"",ACOS((SIN(RADIANS(C639)) * SIN(RADIANS('Hydrologie-Méthode rationnelle'!$C$22))) + (COS(RADIANS(C639)) * COS(RADIANS('Hydrologie-Méthode rationnelle'!$C$22))) * (COS(RADIANS(D639) - RADIANS('Hydrologie-Méthode rationnelle'!$C$23)))) * 6371)</f>
        <v/>
      </c>
    </row>
    <row r="640" spans="5:5">
      <c r="E640" s="263" t="str">
        <f>IF(OR(C640="",D640=""),"",ACOS((SIN(RADIANS(C640)) * SIN(RADIANS('Hydrologie-Méthode rationnelle'!$C$22))) + (COS(RADIANS(C640)) * COS(RADIANS('Hydrologie-Méthode rationnelle'!$C$22))) * (COS(RADIANS(D640) - RADIANS('Hydrologie-Méthode rationnelle'!$C$23)))) * 6371)</f>
        <v/>
      </c>
    </row>
    <row r="641" spans="5:5">
      <c r="E641" s="263" t="str">
        <f>IF(OR(C641="",D641=""),"",ACOS((SIN(RADIANS(C641)) * SIN(RADIANS('Hydrologie-Méthode rationnelle'!$C$22))) + (COS(RADIANS(C641)) * COS(RADIANS('Hydrologie-Méthode rationnelle'!$C$22))) * (COS(RADIANS(D641) - RADIANS('Hydrologie-Méthode rationnelle'!$C$23)))) * 6371)</f>
        <v/>
      </c>
    </row>
    <row r="642" spans="5:5">
      <c r="E642" s="263" t="str">
        <f>IF(OR(C642="",D642=""),"",ACOS((SIN(RADIANS(C642)) * SIN(RADIANS('Hydrologie-Méthode rationnelle'!$C$22))) + (COS(RADIANS(C642)) * COS(RADIANS('Hydrologie-Méthode rationnelle'!$C$22))) * (COS(RADIANS(D642) - RADIANS('Hydrologie-Méthode rationnelle'!$C$23)))) * 6371)</f>
        <v/>
      </c>
    </row>
    <row r="643" spans="5:5">
      <c r="E643" s="263" t="str">
        <f>IF(OR(C643="",D643=""),"",ACOS((SIN(RADIANS(C643)) * SIN(RADIANS('Hydrologie-Méthode rationnelle'!$C$22))) + (COS(RADIANS(C643)) * COS(RADIANS('Hydrologie-Méthode rationnelle'!$C$22))) * (COS(RADIANS(D643) - RADIANS('Hydrologie-Méthode rationnelle'!$C$23)))) * 6371)</f>
        <v/>
      </c>
    </row>
    <row r="644" spans="5:5">
      <c r="E644" s="263" t="str">
        <f>IF(OR(C644="",D644=""),"",ACOS((SIN(RADIANS(C644)) * SIN(RADIANS('Hydrologie-Méthode rationnelle'!$C$22))) + (COS(RADIANS(C644)) * COS(RADIANS('Hydrologie-Méthode rationnelle'!$C$22))) * (COS(RADIANS(D644) - RADIANS('Hydrologie-Méthode rationnelle'!$C$23)))) * 6371)</f>
        <v/>
      </c>
    </row>
    <row r="645" spans="5:5">
      <c r="E645" s="263" t="str">
        <f>IF(OR(C645="",D645=""),"",ACOS((SIN(RADIANS(C645)) * SIN(RADIANS('Hydrologie-Méthode rationnelle'!$C$22))) + (COS(RADIANS(C645)) * COS(RADIANS('Hydrologie-Méthode rationnelle'!$C$22))) * (COS(RADIANS(D645) - RADIANS('Hydrologie-Méthode rationnelle'!$C$23)))) * 6371)</f>
        <v/>
      </c>
    </row>
    <row r="646" spans="5:5">
      <c r="E646" s="263" t="str">
        <f>IF(OR(C646="",D646=""),"",ACOS((SIN(RADIANS(C646)) * SIN(RADIANS('Hydrologie-Méthode rationnelle'!$C$22))) + (COS(RADIANS(C646)) * COS(RADIANS('Hydrologie-Méthode rationnelle'!$C$22))) * (COS(RADIANS(D646) - RADIANS('Hydrologie-Méthode rationnelle'!$C$23)))) * 6371)</f>
        <v/>
      </c>
    </row>
    <row r="647" spans="5:5">
      <c r="E647" s="263" t="str">
        <f>IF(OR(C647="",D647=""),"",ACOS((SIN(RADIANS(C647)) * SIN(RADIANS('Hydrologie-Méthode rationnelle'!$C$22))) + (COS(RADIANS(C647)) * COS(RADIANS('Hydrologie-Méthode rationnelle'!$C$22))) * (COS(RADIANS(D647) - RADIANS('Hydrologie-Méthode rationnelle'!$C$23)))) * 6371)</f>
        <v/>
      </c>
    </row>
    <row r="648" spans="5:5">
      <c r="E648" s="263" t="str">
        <f>IF(OR(C648="",D648=""),"",ACOS((SIN(RADIANS(C648)) * SIN(RADIANS('Hydrologie-Méthode rationnelle'!$C$22))) + (COS(RADIANS(C648)) * COS(RADIANS('Hydrologie-Méthode rationnelle'!$C$22))) * (COS(RADIANS(D648) - RADIANS('Hydrologie-Méthode rationnelle'!$C$23)))) * 6371)</f>
        <v/>
      </c>
    </row>
    <row r="649" spans="5:5">
      <c r="E649" s="263" t="str">
        <f>IF(OR(C649="",D649=""),"",ACOS((SIN(RADIANS(C649)) * SIN(RADIANS('Hydrologie-Méthode rationnelle'!$C$22))) + (COS(RADIANS(C649)) * COS(RADIANS('Hydrologie-Méthode rationnelle'!$C$22))) * (COS(RADIANS(D649) - RADIANS('Hydrologie-Méthode rationnelle'!$C$23)))) * 6371)</f>
        <v/>
      </c>
    </row>
    <row r="650" spans="5:5">
      <c r="E650" s="263" t="str">
        <f>IF(OR(C650="",D650=""),"",ACOS((SIN(RADIANS(C650)) * SIN(RADIANS('Hydrologie-Méthode rationnelle'!$C$22))) + (COS(RADIANS(C650)) * COS(RADIANS('Hydrologie-Méthode rationnelle'!$C$22))) * (COS(RADIANS(D650) - RADIANS('Hydrologie-Méthode rationnelle'!$C$23)))) * 6371)</f>
        <v/>
      </c>
    </row>
    <row r="651" spans="5:5">
      <c r="E651" s="263" t="str">
        <f>IF(OR(C651="",D651=""),"",ACOS((SIN(RADIANS(C651)) * SIN(RADIANS('Hydrologie-Méthode rationnelle'!$C$22))) + (COS(RADIANS(C651)) * COS(RADIANS('Hydrologie-Méthode rationnelle'!$C$22))) * (COS(RADIANS(D651) - RADIANS('Hydrologie-Méthode rationnelle'!$C$23)))) * 6371)</f>
        <v/>
      </c>
    </row>
    <row r="652" spans="5:5">
      <c r="E652" s="263" t="str">
        <f>IF(OR(C652="",D652=""),"",ACOS((SIN(RADIANS(C652)) * SIN(RADIANS('Hydrologie-Méthode rationnelle'!$C$22))) + (COS(RADIANS(C652)) * COS(RADIANS('Hydrologie-Méthode rationnelle'!$C$22))) * (COS(RADIANS(D652) - RADIANS('Hydrologie-Méthode rationnelle'!$C$23)))) * 6371)</f>
        <v/>
      </c>
    </row>
    <row r="653" spans="5:5">
      <c r="E653" s="263" t="str">
        <f>IF(OR(C653="",D653=""),"",ACOS((SIN(RADIANS(C653)) * SIN(RADIANS('Hydrologie-Méthode rationnelle'!$C$22))) + (COS(RADIANS(C653)) * COS(RADIANS('Hydrologie-Méthode rationnelle'!$C$22))) * (COS(RADIANS(D653) - RADIANS('Hydrologie-Méthode rationnelle'!$C$23)))) * 6371)</f>
        <v/>
      </c>
    </row>
    <row r="654" spans="5:5">
      <c r="E654" s="263" t="str">
        <f>IF(OR(C654="",D654=""),"",ACOS((SIN(RADIANS(C654)) * SIN(RADIANS('Hydrologie-Méthode rationnelle'!$C$22))) + (COS(RADIANS(C654)) * COS(RADIANS('Hydrologie-Méthode rationnelle'!$C$22))) * (COS(RADIANS(D654) - RADIANS('Hydrologie-Méthode rationnelle'!$C$23)))) * 6371)</f>
        <v/>
      </c>
    </row>
    <row r="655" spans="5:5">
      <c r="E655" s="263" t="str">
        <f>IF(OR(C655="",D655=""),"",ACOS((SIN(RADIANS(C655)) * SIN(RADIANS('Hydrologie-Méthode rationnelle'!$C$22))) + (COS(RADIANS(C655)) * COS(RADIANS('Hydrologie-Méthode rationnelle'!$C$22))) * (COS(RADIANS(D655) - RADIANS('Hydrologie-Méthode rationnelle'!$C$23)))) * 6371)</f>
        <v/>
      </c>
    </row>
    <row r="656" spans="5:5">
      <c r="E656" s="263" t="str">
        <f>IF(OR(C656="",D656=""),"",ACOS((SIN(RADIANS(C656)) * SIN(RADIANS('Hydrologie-Méthode rationnelle'!$C$22))) + (COS(RADIANS(C656)) * COS(RADIANS('Hydrologie-Méthode rationnelle'!$C$22))) * (COS(RADIANS(D656) - RADIANS('Hydrologie-Méthode rationnelle'!$C$23)))) * 6371)</f>
        <v/>
      </c>
    </row>
    <row r="657" spans="5:5">
      <c r="E657" s="263" t="str">
        <f>IF(OR(C657="",D657=""),"",ACOS((SIN(RADIANS(C657)) * SIN(RADIANS('Hydrologie-Méthode rationnelle'!$C$22))) + (COS(RADIANS(C657)) * COS(RADIANS('Hydrologie-Méthode rationnelle'!$C$22))) * (COS(RADIANS(D657) - RADIANS('Hydrologie-Méthode rationnelle'!$C$23)))) * 6371)</f>
        <v/>
      </c>
    </row>
    <row r="658" spans="5:5">
      <c r="E658" s="263" t="str">
        <f>IF(OR(C658="",D658=""),"",ACOS((SIN(RADIANS(C658)) * SIN(RADIANS('Hydrologie-Méthode rationnelle'!$C$22))) + (COS(RADIANS(C658)) * COS(RADIANS('Hydrologie-Méthode rationnelle'!$C$22))) * (COS(RADIANS(D658) - RADIANS('Hydrologie-Méthode rationnelle'!$C$23)))) * 6371)</f>
        <v/>
      </c>
    </row>
    <row r="659" spans="5:5">
      <c r="E659" s="263" t="str">
        <f>IF(OR(C659="",D659=""),"",ACOS((SIN(RADIANS(C659)) * SIN(RADIANS('Hydrologie-Méthode rationnelle'!$C$22))) + (COS(RADIANS(C659)) * COS(RADIANS('Hydrologie-Méthode rationnelle'!$C$22))) * (COS(RADIANS(D659) - RADIANS('Hydrologie-Méthode rationnelle'!$C$23)))) * 6371)</f>
        <v/>
      </c>
    </row>
    <row r="660" spans="5:5">
      <c r="E660" s="263" t="str">
        <f>IF(OR(C660="",D660=""),"",ACOS((SIN(RADIANS(C660)) * SIN(RADIANS('Hydrologie-Méthode rationnelle'!$C$22))) + (COS(RADIANS(C660)) * COS(RADIANS('Hydrologie-Méthode rationnelle'!$C$22))) * (COS(RADIANS(D660) - RADIANS('Hydrologie-Méthode rationnelle'!$C$23)))) * 6371)</f>
        <v/>
      </c>
    </row>
    <row r="661" spans="5:5">
      <c r="E661" s="263" t="str">
        <f>IF(OR(C661="",D661=""),"",ACOS((SIN(RADIANS(C661)) * SIN(RADIANS('Hydrologie-Méthode rationnelle'!$C$22))) + (COS(RADIANS(C661)) * COS(RADIANS('Hydrologie-Méthode rationnelle'!$C$22))) * (COS(RADIANS(D661) - RADIANS('Hydrologie-Méthode rationnelle'!$C$23)))) * 6371)</f>
        <v/>
      </c>
    </row>
    <row r="662" spans="5:5">
      <c r="E662" s="263" t="str">
        <f>IF(OR(C662="",D662=""),"",ACOS((SIN(RADIANS(C662)) * SIN(RADIANS('Hydrologie-Méthode rationnelle'!$C$22))) + (COS(RADIANS(C662)) * COS(RADIANS('Hydrologie-Méthode rationnelle'!$C$22))) * (COS(RADIANS(D662) - RADIANS('Hydrologie-Méthode rationnelle'!$C$23)))) * 6371)</f>
        <v/>
      </c>
    </row>
    <row r="663" spans="5:5">
      <c r="E663" s="263" t="str">
        <f>IF(OR(C663="",D663=""),"",ACOS((SIN(RADIANS(C663)) * SIN(RADIANS('Hydrologie-Méthode rationnelle'!$C$22))) + (COS(RADIANS(C663)) * COS(RADIANS('Hydrologie-Méthode rationnelle'!$C$22))) * (COS(RADIANS(D663) - RADIANS('Hydrologie-Méthode rationnelle'!$C$23)))) * 6371)</f>
        <v/>
      </c>
    </row>
    <row r="664" spans="5:5">
      <c r="E664" s="263" t="str">
        <f>IF(OR(C664="",D664=""),"",ACOS((SIN(RADIANS(C664)) * SIN(RADIANS('Hydrologie-Méthode rationnelle'!$C$22))) + (COS(RADIANS(C664)) * COS(RADIANS('Hydrologie-Méthode rationnelle'!$C$22))) * (COS(RADIANS(D664) - RADIANS('Hydrologie-Méthode rationnelle'!$C$23)))) * 6371)</f>
        <v/>
      </c>
    </row>
    <row r="665" spans="5:5">
      <c r="E665" s="263" t="str">
        <f>IF(OR(C665="",D665=""),"",ACOS((SIN(RADIANS(C665)) * SIN(RADIANS('Hydrologie-Méthode rationnelle'!$C$22))) + (COS(RADIANS(C665)) * COS(RADIANS('Hydrologie-Méthode rationnelle'!$C$22))) * (COS(RADIANS(D665) - RADIANS('Hydrologie-Méthode rationnelle'!$C$23)))) * 6371)</f>
        <v/>
      </c>
    </row>
    <row r="666" spans="5:5">
      <c r="E666" s="263" t="str">
        <f>IF(OR(C666="",D666=""),"",ACOS((SIN(RADIANS(C666)) * SIN(RADIANS('Hydrologie-Méthode rationnelle'!$C$22))) + (COS(RADIANS(C666)) * COS(RADIANS('Hydrologie-Méthode rationnelle'!$C$22))) * (COS(RADIANS(D666) - RADIANS('Hydrologie-Méthode rationnelle'!$C$23)))) * 6371)</f>
        <v/>
      </c>
    </row>
    <row r="667" spans="5:5">
      <c r="E667" s="263" t="str">
        <f>IF(OR(C667="",D667=""),"",ACOS((SIN(RADIANS(C667)) * SIN(RADIANS('Hydrologie-Méthode rationnelle'!$C$22))) + (COS(RADIANS(C667)) * COS(RADIANS('Hydrologie-Méthode rationnelle'!$C$22))) * (COS(RADIANS(D667) - RADIANS('Hydrologie-Méthode rationnelle'!$C$23)))) * 6371)</f>
        <v/>
      </c>
    </row>
    <row r="668" spans="5:5">
      <c r="E668" s="263" t="str">
        <f>IF(OR(C668="",D668=""),"",ACOS((SIN(RADIANS(C668)) * SIN(RADIANS('Hydrologie-Méthode rationnelle'!$C$22))) + (COS(RADIANS(C668)) * COS(RADIANS('Hydrologie-Méthode rationnelle'!$C$22))) * (COS(RADIANS(D668) - RADIANS('Hydrologie-Méthode rationnelle'!$C$23)))) * 6371)</f>
        <v/>
      </c>
    </row>
    <row r="669" spans="5:5">
      <c r="E669" s="263" t="str">
        <f>IF(OR(C669="",D669=""),"",ACOS((SIN(RADIANS(C669)) * SIN(RADIANS('Hydrologie-Méthode rationnelle'!$C$22))) + (COS(RADIANS(C669)) * COS(RADIANS('Hydrologie-Méthode rationnelle'!$C$22))) * (COS(RADIANS(D669) - RADIANS('Hydrologie-Méthode rationnelle'!$C$23)))) * 6371)</f>
        <v/>
      </c>
    </row>
    <row r="670" spans="5:5">
      <c r="E670" s="263" t="str">
        <f>IF(OR(C670="",D670=""),"",ACOS((SIN(RADIANS(C670)) * SIN(RADIANS('Hydrologie-Méthode rationnelle'!$C$22))) + (COS(RADIANS(C670)) * COS(RADIANS('Hydrologie-Méthode rationnelle'!$C$22))) * (COS(RADIANS(D670) - RADIANS('Hydrologie-Méthode rationnelle'!$C$23)))) * 6371)</f>
        <v/>
      </c>
    </row>
    <row r="671" spans="5:5">
      <c r="E671" s="263" t="str">
        <f>IF(OR(C671="",D671=""),"",ACOS((SIN(RADIANS(C671)) * SIN(RADIANS('Hydrologie-Méthode rationnelle'!$C$22))) + (COS(RADIANS(C671)) * COS(RADIANS('Hydrologie-Méthode rationnelle'!$C$22))) * (COS(RADIANS(D671) - RADIANS('Hydrologie-Méthode rationnelle'!$C$23)))) * 6371)</f>
        <v/>
      </c>
    </row>
    <row r="672" spans="5:5">
      <c r="E672" s="263" t="str">
        <f>IF(OR(C672="",D672=""),"",ACOS((SIN(RADIANS(C672)) * SIN(RADIANS('Hydrologie-Méthode rationnelle'!$C$22))) + (COS(RADIANS(C672)) * COS(RADIANS('Hydrologie-Méthode rationnelle'!$C$22))) * (COS(RADIANS(D672) - RADIANS('Hydrologie-Méthode rationnelle'!$C$23)))) * 6371)</f>
        <v/>
      </c>
    </row>
    <row r="673" spans="5:5">
      <c r="E673" s="263" t="str">
        <f>IF(OR(C673="",D673=""),"",ACOS((SIN(RADIANS(C673)) * SIN(RADIANS('Hydrologie-Méthode rationnelle'!$C$22))) + (COS(RADIANS(C673)) * COS(RADIANS('Hydrologie-Méthode rationnelle'!$C$22))) * (COS(RADIANS(D673) - RADIANS('Hydrologie-Méthode rationnelle'!$C$23)))) * 6371)</f>
        <v/>
      </c>
    </row>
    <row r="674" spans="5:5">
      <c r="E674" s="263" t="str">
        <f>IF(OR(C674="",D674=""),"",ACOS((SIN(RADIANS(C674)) * SIN(RADIANS('Hydrologie-Méthode rationnelle'!$C$22))) + (COS(RADIANS(C674)) * COS(RADIANS('Hydrologie-Méthode rationnelle'!$C$22))) * (COS(RADIANS(D674) - RADIANS('Hydrologie-Méthode rationnelle'!$C$23)))) * 6371)</f>
        <v/>
      </c>
    </row>
    <row r="675" spans="5:5">
      <c r="E675" s="263" t="str">
        <f>IF(OR(C675="",D675=""),"",ACOS((SIN(RADIANS(C675)) * SIN(RADIANS('Hydrologie-Méthode rationnelle'!$C$22))) + (COS(RADIANS(C675)) * COS(RADIANS('Hydrologie-Méthode rationnelle'!$C$22))) * (COS(RADIANS(D675) - RADIANS('Hydrologie-Méthode rationnelle'!$C$23)))) * 6371)</f>
        <v/>
      </c>
    </row>
    <row r="676" spans="5:5">
      <c r="E676" s="263" t="str">
        <f>IF(OR(C676="",D676=""),"",ACOS((SIN(RADIANS(C676)) * SIN(RADIANS('Hydrologie-Méthode rationnelle'!$C$22))) + (COS(RADIANS(C676)) * COS(RADIANS('Hydrologie-Méthode rationnelle'!$C$22))) * (COS(RADIANS(D676) - RADIANS('Hydrologie-Méthode rationnelle'!$C$23)))) * 6371)</f>
        <v/>
      </c>
    </row>
    <row r="677" spans="5:5">
      <c r="E677" s="263" t="str">
        <f>IF(OR(C677="",D677=""),"",ACOS((SIN(RADIANS(C677)) * SIN(RADIANS('Hydrologie-Méthode rationnelle'!$C$22))) + (COS(RADIANS(C677)) * COS(RADIANS('Hydrologie-Méthode rationnelle'!$C$22))) * (COS(RADIANS(D677) - RADIANS('Hydrologie-Méthode rationnelle'!$C$23)))) * 6371)</f>
        <v/>
      </c>
    </row>
    <row r="678" spans="5:5">
      <c r="E678" s="263" t="str">
        <f>IF(OR(C678="",D678=""),"",ACOS((SIN(RADIANS(C678)) * SIN(RADIANS('Hydrologie-Méthode rationnelle'!$C$22))) + (COS(RADIANS(C678)) * COS(RADIANS('Hydrologie-Méthode rationnelle'!$C$22))) * (COS(RADIANS(D678) - RADIANS('Hydrologie-Méthode rationnelle'!$C$23)))) * 6371)</f>
        <v/>
      </c>
    </row>
    <row r="679" spans="5:5">
      <c r="E679" s="263" t="str">
        <f>IF(OR(C679="",D679=""),"",ACOS((SIN(RADIANS(C679)) * SIN(RADIANS('Hydrologie-Méthode rationnelle'!$C$22))) + (COS(RADIANS(C679)) * COS(RADIANS('Hydrologie-Méthode rationnelle'!$C$22))) * (COS(RADIANS(D679) - RADIANS('Hydrologie-Méthode rationnelle'!$C$23)))) * 6371)</f>
        <v/>
      </c>
    </row>
    <row r="680" spans="5:5">
      <c r="E680" s="263" t="str">
        <f>IF(OR(C680="",D680=""),"",ACOS((SIN(RADIANS(C680)) * SIN(RADIANS('Hydrologie-Méthode rationnelle'!$C$22))) + (COS(RADIANS(C680)) * COS(RADIANS('Hydrologie-Méthode rationnelle'!$C$22))) * (COS(RADIANS(D680) - RADIANS('Hydrologie-Méthode rationnelle'!$C$23)))) * 6371)</f>
        <v/>
      </c>
    </row>
    <row r="681" spans="5:5">
      <c r="E681" s="263" t="str">
        <f>IF(OR(C681="",D681=""),"",ACOS((SIN(RADIANS(C681)) * SIN(RADIANS('Hydrologie-Méthode rationnelle'!$C$22))) + (COS(RADIANS(C681)) * COS(RADIANS('Hydrologie-Méthode rationnelle'!$C$22))) * (COS(RADIANS(D681) - RADIANS('Hydrologie-Méthode rationnelle'!$C$23)))) * 6371)</f>
        <v/>
      </c>
    </row>
    <row r="682" spans="5:5">
      <c r="E682" s="263" t="str">
        <f>IF(OR(C682="",D682=""),"",ACOS((SIN(RADIANS(C682)) * SIN(RADIANS('Hydrologie-Méthode rationnelle'!$C$22))) + (COS(RADIANS(C682)) * COS(RADIANS('Hydrologie-Méthode rationnelle'!$C$22))) * (COS(RADIANS(D682) - RADIANS('Hydrologie-Méthode rationnelle'!$C$23)))) * 6371)</f>
        <v/>
      </c>
    </row>
    <row r="683" spans="5:5">
      <c r="E683" s="263" t="str">
        <f>IF(OR(C683="",D683=""),"",ACOS((SIN(RADIANS(C683)) * SIN(RADIANS('Hydrologie-Méthode rationnelle'!$C$22))) + (COS(RADIANS(C683)) * COS(RADIANS('Hydrologie-Méthode rationnelle'!$C$22))) * (COS(RADIANS(D683) - RADIANS('Hydrologie-Méthode rationnelle'!$C$23)))) * 6371)</f>
        <v/>
      </c>
    </row>
    <row r="684" spans="5:5">
      <c r="E684" s="263" t="str">
        <f>IF(OR(C684="",D684=""),"",ACOS((SIN(RADIANS(C684)) * SIN(RADIANS('Hydrologie-Méthode rationnelle'!$C$22))) + (COS(RADIANS(C684)) * COS(RADIANS('Hydrologie-Méthode rationnelle'!$C$22))) * (COS(RADIANS(D684) - RADIANS('Hydrologie-Méthode rationnelle'!$C$23)))) * 6371)</f>
        <v/>
      </c>
    </row>
    <row r="685" spans="5:5">
      <c r="E685" s="263" t="str">
        <f>IF(OR(C685="",D685=""),"",ACOS((SIN(RADIANS(C685)) * SIN(RADIANS('Hydrologie-Méthode rationnelle'!$C$22))) + (COS(RADIANS(C685)) * COS(RADIANS('Hydrologie-Méthode rationnelle'!$C$22))) * (COS(RADIANS(D685) - RADIANS('Hydrologie-Méthode rationnelle'!$C$23)))) * 6371)</f>
        <v/>
      </c>
    </row>
    <row r="686" spans="5:5">
      <c r="E686" s="263" t="str">
        <f>IF(OR(C686="",D686=""),"",ACOS((SIN(RADIANS(C686)) * SIN(RADIANS('Hydrologie-Méthode rationnelle'!$C$22))) + (COS(RADIANS(C686)) * COS(RADIANS('Hydrologie-Méthode rationnelle'!$C$22))) * (COS(RADIANS(D686) - RADIANS('Hydrologie-Méthode rationnelle'!$C$23)))) * 6371)</f>
        <v/>
      </c>
    </row>
    <row r="687" spans="5:5">
      <c r="E687" s="263" t="str">
        <f>IF(OR(C687="",D687=""),"",ACOS((SIN(RADIANS(C687)) * SIN(RADIANS('Hydrologie-Méthode rationnelle'!$C$22))) + (COS(RADIANS(C687)) * COS(RADIANS('Hydrologie-Méthode rationnelle'!$C$22))) * (COS(RADIANS(D687) - RADIANS('Hydrologie-Méthode rationnelle'!$C$23)))) * 6371)</f>
        <v/>
      </c>
    </row>
    <row r="688" spans="5:5">
      <c r="E688" s="263" t="str">
        <f>IF(OR(C688="",D688=""),"",ACOS((SIN(RADIANS(C688)) * SIN(RADIANS('Hydrologie-Méthode rationnelle'!$C$22))) + (COS(RADIANS(C688)) * COS(RADIANS('Hydrologie-Méthode rationnelle'!$C$22))) * (COS(RADIANS(D688) - RADIANS('Hydrologie-Méthode rationnelle'!$C$23)))) * 6371)</f>
        <v/>
      </c>
    </row>
    <row r="689" spans="5:5">
      <c r="E689" s="263" t="str">
        <f>IF(OR(C689="",D689=""),"",ACOS((SIN(RADIANS(C689)) * SIN(RADIANS('Hydrologie-Méthode rationnelle'!$C$22))) + (COS(RADIANS(C689)) * COS(RADIANS('Hydrologie-Méthode rationnelle'!$C$22))) * (COS(RADIANS(D689) - RADIANS('Hydrologie-Méthode rationnelle'!$C$23)))) * 6371)</f>
        <v/>
      </c>
    </row>
    <row r="690" spans="5:5">
      <c r="E690" s="263" t="str">
        <f>IF(OR(C690="",D690=""),"",ACOS((SIN(RADIANS(C690)) * SIN(RADIANS('Hydrologie-Méthode rationnelle'!$C$22))) + (COS(RADIANS(C690)) * COS(RADIANS('Hydrologie-Méthode rationnelle'!$C$22))) * (COS(RADIANS(D690) - RADIANS('Hydrologie-Méthode rationnelle'!$C$23)))) * 6371)</f>
        <v/>
      </c>
    </row>
    <row r="691" spans="5:5">
      <c r="E691" s="263" t="str">
        <f>IF(OR(C691="",D691=""),"",ACOS((SIN(RADIANS(C691)) * SIN(RADIANS('Hydrologie-Méthode rationnelle'!$C$22))) + (COS(RADIANS(C691)) * COS(RADIANS('Hydrologie-Méthode rationnelle'!$C$22))) * (COS(RADIANS(D691) - RADIANS('Hydrologie-Méthode rationnelle'!$C$23)))) * 6371)</f>
        <v/>
      </c>
    </row>
    <row r="692" spans="5:5">
      <c r="E692" s="263" t="str">
        <f>IF(OR(C692="",D692=""),"",ACOS((SIN(RADIANS(C692)) * SIN(RADIANS('Hydrologie-Méthode rationnelle'!$C$22))) + (COS(RADIANS(C692)) * COS(RADIANS('Hydrologie-Méthode rationnelle'!$C$22))) * (COS(RADIANS(D692) - RADIANS('Hydrologie-Méthode rationnelle'!$C$23)))) * 6371)</f>
        <v/>
      </c>
    </row>
    <row r="693" spans="5:5">
      <c r="E693" s="263" t="str">
        <f>IF(OR(C693="",D693=""),"",ACOS((SIN(RADIANS(C693)) * SIN(RADIANS('Hydrologie-Méthode rationnelle'!$C$22))) + (COS(RADIANS(C693)) * COS(RADIANS('Hydrologie-Méthode rationnelle'!$C$22))) * (COS(RADIANS(D693) - RADIANS('Hydrologie-Méthode rationnelle'!$C$23)))) * 6371)</f>
        <v/>
      </c>
    </row>
    <row r="694" spans="5:5">
      <c r="E694" s="263" t="str">
        <f>IF(OR(C694="",D694=""),"",ACOS((SIN(RADIANS(C694)) * SIN(RADIANS('Hydrologie-Méthode rationnelle'!$C$22))) + (COS(RADIANS(C694)) * COS(RADIANS('Hydrologie-Méthode rationnelle'!$C$22))) * (COS(RADIANS(D694) - RADIANS('Hydrologie-Méthode rationnelle'!$C$23)))) * 6371)</f>
        <v/>
      </c>
    </row>
    <row r="695" spans="5:5">
      <c r="E695" s="263" t="str">
        <f>IF(OR(C695="",D695=""),"",ACOS((SIN(RADIANS(C695)) * SIN(RADIANS('Hydrologie-Méthode rationnelle'!$C$22))) + (COS(RADIANS(C695)) * COS(RADIANS('Hydrologie-Méthode rationnelle'!$C$22))) * (COS(RADIANS(D695) - RADIANS('Hydrologie-Méthode rationnelle'!$C$23)))) * 6371)</f>
        <v/>
      </c>
    </row>
    <row r="696" spans="5:5">
      <c r="E696" s="263" t="str">
        <f>IF(OR(C696="",D696=""),"",ACOS((SIN(RADIANS(C696)) * SIN(RADIANS('Hydrologie-Méthode rationnelle'!$C$22))) + (COS(RADIANS(C696)) * COS(RADIANS('Hydrologie-Méthode rationnelle'!$C$22))) * (COS(RADIANS(D696) - RADIANS('Hydrologie-Méthode rationnelle'!$C$23)))) * 6371)</f>
        <v/>
      </c>
    </row>
    <row r="697" spans="5:5">
      <c r="E697" s="263" t="str">
        <f>IF(OR(C697="",D697=""),"",ACOS((SIN(RADIANS(C697)) * SIN(RADIANS('Hydrologie-Méthode rationnelle'!$C$22))) + (COS(RADIANS(C697)) * COS(RADIANS('Hydrologie-Méthode rationnelle'!$C$22))) * (COS(RADIANS(D697) - RADIANS('Hydrologie-Méthode rationnelle'!$C$23)))) * 6371)</f>
        <v/>
      </c>
    </row>
    <row r="698" spans="5:5">
      <c r="E698" s="263" t="str">
        <f>IF(OR(C698="",D698=""),"",ACOS((SIN(RADIANS(C698)) * SIN(RADIANS('Hydrologie-Méthode rationnelle'!$C$22))) + (COS(RADIANS(C698)) * COS(RADIANS('Hydrologie-Méthode rationnelle'!$C$22))) * (COS(RADIANS(D698) - RADIANS('Hydrologie-Méthode rationnelle'!$C$23)))) * 6371)</f>
        <v/>
      </c>
    </row>
    <row r="699" spans="5:5">
      <c r="E699" s="263" t="str">
        <f>IF(OR(C699="",D699=""),"",ACOS((SIN(RADIANS(C699)) * SIN(RADIANS('Hydrologie-Méthode rationnelle'!$C$22))) + (COS(RADIANS(C699)) * COS(RADIANS('Hydrologie-Méthode rationnelle'!$C$22))) * (COS(RADIANS(D699) - RADIANS('Hydrologie-Méthode rationnelle'!$C$23)))) * 6371)</f>
        <v/>
      </c>
    </row>
    <row r="700" spans="5:5">
      <c r="E700" s="263" t="str">
        <f>IF(OR(C700="",D700=""),"",ACOS((SIN(RADIANS(C700)) * SIN(RADIANS('Hydrologie-Méthode rationnelle'!$C$22))) + (COS(RADIANS(C700)) * COS(RADIANS('Hydrologie-Méthode rationnelle'!$C$22))) * (COS(RADIANS(D700) - RADIANS('Hydrologie-Méthode rationnelle'!$C$23)))) * 6371)</f>
        <v/>
      </c>
    </row>
    <row r="701" spans="5:5">
      <c r="E701" s="263" t="str">
        <f>IF(OR(C701="",D701=""),"",ACOS((SIN(RADIANS(C701)) * SIN(RADIANS('Hydrologie-Méthode rationnelle'!$C$22))) + (COS(RADIANS(C701)) * COS(RADIANS('Hydrologie-Méthode rationnelle'!$C$22))) * (COS(RADIANS(D701) - RADIANS('Hydrologie-Méthode rationnelle'!$C$23)))) * 6371)</f>
        <v/>
      </c>
    </row>
    <row r="702" spans="5:5">
      <c r="E702" s="263" t="str">
        <f>IF(OR(C702="",D702=""),"",ACOS((SIN(RADIANS(C702)) * SIN(RADIANS('Hydrologie-Méthode rationnelle'!$C$22))) + (COS(RADIANS(C702)) * COS(RADIANS('Hydrologie-Méthode rationnelle'!$C$22))) * (COS(RADIANS(D702) - RADIANS('Hydrologie-Méthode rationnelle'!$C$23)))) * 6371)</f>
        <v/>
      </c>
    </row>
    <row r="703" spans="5:5">
      <c r="E703" s="263" t="str">
        <f>IF(OR(C703="",D703=""),"",ACOS((SIN(RADIANS(C703)) * SIN(RADIANS('Hydrologie-Méthode rationnelle'!$C$22))) + (COS(RADIANS(C703)) * COS(RADIANS('Hydrologie-Méthode rationnelle'!$C$22))) * (COS(RADIANS(D703) - RADIANS('Hydrologie-Méthode rationnelle'!$C$23)))) * 6371)</f>
        <v/>
      </c>
    </row>
    <row r="704" spans="5:5">
      <c r="E704" s="263" t="str">
        <f>IF(OR(C704="",D704=""),"",ACOS((SIN(RADIANS(C704)) * SIN(RADIANS('Hydrologie-Méthode rationnelle'!$C$22))) + (COS(RADIANS(C704)) * COS(RADIANS('Hydrologie-Méthode rationnelle'!$C$22))) * (COS(RADIANS(D704) - RADIANS('Hydrologie-Méthode rationnelle'!$C$23)))) * 6371)</f>
        <v/>
      </c>
    </row>
    <row r="705" spans="5:5">
      <c r="E705" s="263" t="str">
        <f>IF(OR(C705="",D705=""),"",ACOS((SIN(RADIANS(C705)) * SIN(RADIANS('Hydrologie-Méthode rationnelle'!$C$22))) + (COS(RADIANS(C705)) * COS(RADIANS('Hydrologie-Méthode rationnelle'!$C$22))) * (COS(RADIANS(D705) - RADIANS('Hydrologie-Méthode rationnelle'!$C$23)))) * 6371)</f>
        <v/>
      </c>
    </row>
    <row r="706" spans="5:5">
      <c r="E706" s="263" t="str">
        <f>IF(OR(C706="",D706=""),"",ACOS((SIN(RADIANS(C706)) * SIN(RADIANS('Hydrologie-Méthode rationnelle'!$C$22))) + (COS(RADIANS(C706)) * COS(RADIANS('Hydrologie-Méthode rationnelle'!$C$22))) * (COS(RADIANS(D706) - RADIANS('Hydrologie-Méthode rationnelle'!$C$23)))) * 6371)</f>
        <v/>
      </c>
    </row>
    <row r="707" spans="5:5">
      <c r="E707" s="263" t="str">
        <f>IF(OR(C707="",D707=""),"",ACOS((SIN(RADIANS(C707)) * SIN(RADIANS('Hydrologie-Méthode rationnelle'!$C$22))) + (COS(RADIANS(C707)) * COS(RADIANS('Hydrologie-Méthode rationnelle'!$C$22))) * (COS(RADIANS(D707) - RADIANS('Hydrologie-Méthode rationnelle'!$C$23)))) * 6371)</f>
        <v/>
      </c>
    </row>
    <row r="708" spans="5:5">
      <c r="E708" s="263" t="str">
        <f>IF(OR(C708="",D708=""),"",ACOS((SIN(RADIANS(C708)) * SIN(RADIANS('Hydrologie-Méthode rationnelle'!$C$22))) + (COS(RADIANS(C708)) * COS(RADIANS('Hydrologie-Méthode rationnelle'!$C$22))) * (COS(RADIANS(D708) - RADIANS('Hydrologie-Méthode rationnelle'!$C$23)))) * 6371)</f>
        <v/>
      </c>
    </row>
    <row r="709" spans="5:5">
      <c r="E709" s="263" t="str">
        <f>IF(OR(C709="",D709=""),"",ACOS((SIN(RADIANS(C709)) * SIN(RADIANS('Hydrologie-Méthode rationnelle'!$C$22))) + (COS(RADIANS(C709)) * COS(RADIANS('Hydrologie-Méthode rationnelle'!$C$22))) * (COS(RADIANS(D709) - RADIANS('Hydrologie-Méthode rationnelle'!$C$23)))) * 6371)</f>
        <v/>
      </c>
    </row>
    <row r="710" spans="5:5">
      <c r="E710" s="263" t="str">
        <f>IF(OR(C710="",D710=""),"",ACOS((SIN(RADIANS(C710)) * SIN(RADIANS('Hydrologie-Méthode rationnelle'!$C$22))) + (COS(RADIANS(C710)) * COS(RADIANS('Hydrologie-Méthode rationnelle'!$C$22))) * (COS(RADIANS(D710) - RADIANS('Hydrologie-Méthode rationnelle'!$C$23)))) * 6371)</f>
        <v/>
      </c>
    </row>
    <row r="711" spans="5:5">
      <c r="E711" s="263" t="str">
        <f>IF(OR(C711="",D711=""),"",ACOS((SIN(RADIANS(C711)) * SIN(RADIANS('Hydrologie-Méthode rationnelle'!$C$22))) + (COS(RADIANS(C711)) * COS(RADIANS('Hydrologie-Méthode rationnelle'!$C$22))) * (COS(RADIANS(D711) - RADIANS('Hydrologie-Méthode rationnelle'!$C$23)))) * 6371)</f>
        <v/>
      </c>
    </row>
    <row r="712" spans="5:5">
      <c r="E712" s="263" t="str">
        <f>IF(OR(C712="",D712=""),"",ACOS((SIN(RADIANS(C712)) * SIN(RADIANS('Hydrologie-Méthode rationnelle'!$C$22))) + (COS(RADIANS(C712)) * COS(RADIANS('Hydrologie-Méthode rationnelle'!$C$22))) * (COS(RADIANS(D712) - RADIANS('Hydrologie-Méthode rationnelle'!$C$23)))) * 6371)</f>
        <v/>
      </c>
    </row>
    <row r="713" spans="5:5">
      <c r="E713" s="263" t="str">
        <f>IF(OR(C713="",D713=""),"",ACOS((SIN(RADIANS(C713)) * SIN(RADIANS('Hydrologie-Méthode rationnelle'!$C$22))) + (COS(RADIANS(C713)) * COS(RADIANS('Hydrologie-Méthode rationnelle'!$C$22))) * (COS(RADIANS(D713) - RADIANS('Hydrologie-Méthode rationnelle'!$C$23)))) * 6371)</f>
        <v/>
      </c>
    </row>
    <row r="714" spans="5:5">
      <c r="E714" s="263" t="str">
        <f>IF(OR(C714="",D714=""),"",ACOS((SIN(RADIANS(C714)) * SIN(RADIANS('Hydrologie-Méthode rationnelle'!$C$22))) + (COS(RADIANS(C714)) * COS(RADIANS('Hydrologie-Méthode rationnelle'!$C$22))) * (COS(RADIANS(D714) - RADIANS('Hydrologie-Méthode rationnelle'!$C$23)))) * 6371)</f>
        <v/>
      </c>
    </row>
    <row r="715" spans="5:5">
      <c r="E715" s="263" t="str">
        <f>IF(OR(C715="",D715=""),"",ACOS((SIN(RADIANS(C715)) * SIN(RADIANS('Hydrologie-Méthode rationnelle'!$C$22))) + (COS(RADIANS(C715)) * COS(RADIANS('Hydrologie-Méthode rationnelle'!$C$22))) * (COS(RADIANS(D715) - RADIANS('Hydrologie-Méthode rationnelle'!$C$23)))) * 6371)</f>
        <v/>
      </c>
    </row>
    <row r="716" spans="5:5">
      <c r="E716" s="263" t="str">
        <f>IF(OR(C716="",D716=""),"",ACOS((SIN(RADIANS(C716)) * SIN(RADIANS('Hydrologie-Méthode rationnelle'!$C$22))) + (COS(RADIANS(C716)) * COS(RADIANS('Hydrologie-Méthode rationnelle'!$C$22))) * (COS(RADIANS(D716) - RADIANS('Hydrologie-Méthode rationnelle'!$C$23)))) * 6371)</f>
        <v/>
      </c>
    </row>
    <row r="717" spans="5:5">
      <c r="E717" s="263" t="str">
        <f>IF(OR(C717="",D717=""),"",ACOS((SIN(RADIANS(C717)) * SIN(RADIANS('Hydrologie-Méthode rationnelle'!$C$22))) + (COS(RADIANS(C717)) * COS(RADIANS('Hydrologie-Méthode rationnelle'!$C$22))) * (COS(RADIANS(D717) - RADIANS('Hydrologie-Méthode rationnelle'!$C$23)))) * 6371)</f>
        <v/>
      </c>
    </row>
    <row r="718" spans="5:5">
      <c r="E718" s="263" t="str">
        <f>IF(OR(C718="",D718=""),"",ACOS((SIN(RADIANS(C718)) * SIN(RADIANS('Hydrologie-Méthode rationnelle'!$C$22))) + (COS(RADIANS(C718)) * COS(RADIANS('Hydrologie-Méthode rationnelle'!$C$22))) * (COS(RADIANS(D718) - RADIANS('Hydrologie-Méthode rationnelle'!$C$23)))) * 6371)</f>
        <v/>
      </c>
    </row>
    <row r="719" spans="5:5">
      <c r="E719" s="263" t="str">
        <f>IF(OR(C719="",D719=""),"",ACOS((SIN(RADIANS(C719)) * SIN(RADIANS('Hydrologie-Méthode rationnelle'!$C$22))) + (COS(RADIANS(C719)) * COS(RADIANS('Hydrologie-Méthode rationnelle'!$C$22))) * (COS(RADIANS(D719) - RADIANS('Hydrologie-Méthode rationnelle'!$C$23)))) * 6371)</f>
        <v/>
      </c>
    </row>
    <row r="720" spans="5:5">
      <c r="E720" s="263" t="str">
        <f>IF(OR(C720="",D720=""),"",ACOS((SIN(RADIANS(C720)) * SIN(RADIANS('Hydrologie-Méthode rationnelle'!$C$22))) + (COS(RADIANS(C720)) * COS(RADIANS('Hydrologie-Méthode rationnelle'!$C$22))) * (COS(RADIANS(D720) - RADIANS('Hydrologie-Méthode rationnelle'!$C$23)))) * 6371)</f>
        <v/>
      </c>
    </row>
    <row r="721" spans="5:5">
      <c r="E721" s="263" t="str">
        <f>IF(OR(C721="",D721=""),"",ACOS((SIN(RADIANS(C721)) * SIN(RADIANS('Hydrologie-Méthode rationnelle'!$C$22))) + (COS(RADIANS(C721)) * COS(RADIANS('Hydrologie-Méthode rationnelle'!$C$22))) * (COS(RADIANS(D721) - RADIANS('Hydrologie-Méthode rationnelle'!$C$23)))) * 6371)</f>
        <v/>
      </c>
    </row>
    <row r="722" spans="5:5">
      <c r="E722" s="263" t="str">
        <f>IF(OR(C722="",D722=""),"",ACOS((SIN(RADIANS(C722)) * SIN(RADIANS('Hydrologie-Méthode rationnelle'!$C$22))) + (COS(RADIANS(C722)) * COS(RADIANS('Hydrologie-Méthode rationnelle'!$C$22))) * (COS(RADIANS(D722) - RADIANS('Hydrologie-Méthode rationnelle'!$C$23)))) * 6371)</f>
        <v/>
      </c>
    </row>
    <row r="723" spans="5:5">
      <c r="E723" s="263" t="str">
        <f>IF(OR(C723="",D723=""),"",ACOS((SIN(RADIANS(C723)) * SIN(RADIANS('Hydrologie-Méthode rationnelle'!$C$22))) + (COS(RADIANS(C723)) * COS(RADIANS('Hydrologie-Méthode rationnelle'!$C$22))) * (COS(RADIANS(D723) - RADIANS('Hydrologie-Méthode rationnelle'!$C$23)))) * 6371)</f>
        <v/>
      </c>
    </row>
    <row r="724" spans="5:5">
      <c r="E724" s="263" t="str">
        <f>IF(OR(C724="",D724=""),"",ACOS((SIN(RADIANS(C724)) * SIN(RADIANS('Hydrologie-Méthode rationnelle'!$C$22))) + (COS(RADIANS(C724)) * COS(RADIANS('Hydrologie-Méthode rationnelle'!$C$22))) * (COS(RADIANS(D724) - RADIANS('Hydrologie-Méthode rationnelle'!$C$23)))) * 6371)</f>
        <v/>
      </c>
    </row>
    <row r="725" spans="5:5">
      <c r="E725" s="263" t="str">
        <f>IF(OR(C725="",D725=""),"",ACOS((SIN(RADIANS(C725)) * SIN(RADIANS('Hydrologie-Méthode rationnelle'!$C$22))) + (COS(RADIANS(C725)) * COS(RADIANS('Hydrologie-Méthode rationnelle'!$C$22))) * (COS(RADIANS(D725) - RADIANS('Hydrologie-Méthode rationnelle'!$C$23)))) * 6371)</f>
        <v/>
      </c>
    </row>
    <row r="726" spans="5:5">
      <c r="E726" s="263" t="str">
        <f>IF(OR(C726="",D726=""),"",ACOS((SIN(RADIANS(C726)) * SIN(RADIANS('Hydrologie-Méthode rationnelle'!$C$22))) + (COS(RADIANS(C726)) * COS(RADIANS('Hydrologie-Méthode rationnelle'!$C$22))) * (COS(RADIANS(D726) - RADIANS('Hydrologie-Méthode rationnelle'!$C$23)))) * 6371)</f>
        <v/>
      </c>
    </row>
    <row r="727" spans="5:5">
      <c r="E727" s="263" t="str">
        <f>IF(OR(C727="",D727=""),"",ACOS((SIN(RADIANS(C727)) * SIN(RADIANS('Hydrologie-Méthode rationnelle'!$C$22))) + (COS(RADIANS(C727)) * COS(RADIANS('Hydrologie-Méthode rationnelle'!$C$22))) * (COS(RADIANS(D727) - RADIANS('Hydrologie-Méthode rationnelle'!$C$23)))) * 6371)</f>
        <v/>
      </c>
    </row>
    <row r="728" spans="5:5">
      <c r="E728" s="263" t="str">
        <f>IF(OR(C728="",D728=""),"",ACOS((SIN(RADIANS(C728)) * SIN(RADIANS('Hydrologie-Méthode rationnelle'!$C$22))) + (COS(RADIANS(C728)) * COS(RADIANS('Hydrologie-Méthode rationnelle'!$C$22))) * (COS(RADIANS(D728) - RADIANS('Hydrologie-Méthode rationnelle'!$C$23)))) * 6371)</f>
        <v/>
      </c>
    </row>
    <row r="729" spans="5:5">
      <c r="E729" s="263" t="str">
        <f>IF(OR(C729="",D729=""),"",ACOS((SIN(RADIANS(C729)) * SIN(RADIANS('Hydrologie-Méthode rationnelle'!$C$22))) + (COS(RADIANS(C729)) * COS(RADIANS('Hydrologie-Méthode rationnelle'!$C$22))) * (COS(RADIANS(D729) - RADIANS('Hydrologie-Méthode rationnelle'!$C$23)))) * 6371)</f>
        <v/>
      </c>
    </row>
    <row r="730" spans="5:5">
      <c r="E730" s="263" t="str">
        <f>IF(OR(C730="",D730=""),"",ACOS((SIN(RADIANS(C730)) * SIN(RADIANS('Hydrologie-Méthode rationnelle'!$C$22))) + (COS(RADIANS(C730)) * COS(RADIANS('Hydrologie-Méthode rationnelle'!$C$22))) * (COS(RADIANS(D730) - RADIANS('Hydrologie-Méthode rationnelle'!$C$23)))) * 6371)</f>
        <v/>
      </c>
    </row>
    <row r="731" spans="5:5">
      <c r="E731" s="263" t="str">
        <f>IF(OR(C731="",D731=""),"",ACOS((SIN(RADIANS(C731)) * SIN(RADIANS('Hydrologie-Méthode rationnelle'!$C$22))) + (COS(RADIANS(C731)) * COS(RADIANS('Hydrologie-Méthode rationnelle'!$C$22))) * (COS(RADIANS(D731) - RADIANS('Hydrologie-Méthode rationnelle'!$C$23)))) * 6371)</f>
        <v/>
      </c>
    </row>
    <row r="732" spans="5:5">
      <c r="E732" s="263" t="str">
        <f>IF(OR(C732="",D732=""),"",ACOS((SIN(RADIANS(C732)) * SIN(RADIANS('Hydrologie-Méthode rationnelle'!$C$22))) + (COS(RADIANS(C732)) * COS(RADIANS('Hydrologie-Méthode rationnelle'!$C$22))) * (COS(RADIANS(D732) - RADIANS('Hydrologie-Méthode rationnelle'!$C$23)))) * 6371)</f>
        <v/>
      </c>
    </row>
    <row r="733" spans="5:5">
      <c r="E733" s="263" t="str">
        <f>IF(OR(C733="",D733=""),"",ACOS((SIN(RADIANS(C733)) * SIN(RADIANS('Hydrologie-Méthode rationnelle'!$C$22))) + (COS(RADIANS(C733)) * COS(RADIANS('Hydrologie-Méthode rationnelle'!$C$22))) * (COS(RADIANS(D733) - RADIANS('Hydrologie-Méthode rationnelle'!$C$23)))) * 6371)</f>
        <v/>
      </c>
    </row>
    <row r="734" spans="5:5">
      <c r="E734" s="263" t="str">
        <f>IF(OR(C734="",D734=""),"",ACOS((SIN(RADIANS(C734)) * SIN(RADIANS('Hydrologie-Méthode rationnelle'!$C$22))) + (COS(RADIANS(C734)) * COS(RADIANS('Hydrologie-Méthode rationnelle'!$C$22))) * (COS(RADIANS(D734) - RADIANS('Hydrologie-Méthode rationnelle'!$C$23)))) * 6371)</f>
        <v/>
      </c>
    </row>
    <row r="735" spans="5:5">
      <c r="E735" s="263" t="str">
        <f>IF(OR(C735="",D735=""),"",ACOS((SIN(RADIANS(C735)) * SIN(RADIANS('Hydrologie-Méthode rationnelle'!$C$22))) + (COS(RADIANS(C735)) * COS(RADIANS('Hydrologie-Méthode rationnelle'!$C$22))) * (COS(RADIANS(D735) - RADIANS('Hydrologie-Méthode rationnelle'!$C$23)))) * 6371)</f>
        <v/>
      </c>
    </row>
    <row r="736" spans="5:5">
      <c r="E736" s="263" t="str">
        <f>IF(OR(C736="",D736=""),"",ACOS((SIN(RADIANS(C736)) * SIN(RADIANS('Hydrologie-Méthode rationnelle'!$C$22))) + (COS(RADIANS(C736)) * COS(RADIANS('Hydrologie-Méthode rationnelle'!$C$22))) * (COS(RADIANS(D736) - RADIANS('Hydrologie-Méthode rationnelle'!$C$23)))) * 6371)</f>
        <v/>
      </c>
    </row>
    <row r="737" spans="5:5">
      <c r="E737" s="263" t="str">
        <f>IF(OR(C737="",D737=""),"",ACOS((SIN(RADIANS(C737)) * SIN(RADIANS('Hydrologie-Méthode rationnelle'!$C$22))) + (COS(RADIANS(C737)) * COS(RADIANS('Hydrologie-Méthode rationnelle'!$C$22))) * (COS(RADIANS(D737) - RADIANS('Hydrologie-Méthode rationnelle'!$C$23)))) * 6371)</f>
        <v/>
      </c>
    </row>
    <row r="738" spans="5:5">
      <c r="E738" s="263" t="str">
        <f>IF(OR(C738="",D738=""),"",ACOS((SIN(RADIANS(C738)) * SIN(RADIANS('Hydrologie-Méthode rationnelle'!$C$22))) + (COS(RADIANS(C738)) * COS(RADIANS('Hydrologie-Méthode rationnelle'!$C$22))) * (COS(RADIANS(D738) - RADIANS('Hydrologie-Méthode rationnelle'!$C$23)))) * 6371)</f>
        <v/>
      </c>
    </row>
    <row r="739" spans="5:5">
      <c r="E739" s="263" t="str">
        <f>IF(OR(C739="",D739=""),"",ACOS((SIN(RADIANS(C739)) * SIN(RADIANS('Hydrologie-Méthode rationnelle'!$C$22))) + (COS(RADIANS(C739)) * COS(RADIANS('Hydrologie-Méthode rationnelle'!$C$22))) * (COS(RADIANS(D739) - RADIANS('Hydrologie-Méthode rationnelle'!$C$23)))) * 6371)</f>
        <v/>
      </c>
    </row>
    <row r="740" spans="5:5">
      <c r="E740" s="263" t="str">
        <f>IF(OR(C740="",D740=""),"",ACOS((SIN(RADIANS(C740)) * SIN(RADIANS('Hydrologie-Méthode rationnelle'!$C$22))) + (COS(RADIANS(C740)) * COS(RADIANS('Hydrologie-Méthode rationnelle'!$C$22))) * (COS(RADIANS(D740) - RADIANS('Hydrologie-Méthode rationnelle'!$C$23)))) * 6371)</f>
        <v/>
      </c>
    </row>
    <row r="741" spans="5:5">
      <c r="E741" s="263" t="str">
        <f>IF(OR(C741="",D741=""),"",ACOS((SIN(RADIANS(C741)) * SIN(RADIANS('Hydrologie-Méthode rationnelle'!$C$22))) + (COS(RADIANS(C741)) * COS(RADIANS('Hydrologie-Méthode rationnelle'!$C$22))) * (COS(RADIANS(D741) - RADIANS('Hydrologie-Méthode rationnelle'!$C$23)))) * 6371)</f>
        <v/>
      </c>
    </row>
    <row r="742" spans="5:5">
      <c r="E742" s="263" t="str">
        <f>IF(OR(C742="",D742=""),"",ACOS((SIN(RADIANS(C742)) * SIN(RADIANS('Hydrologie-Méthode rationnelle'!$C$22))) + (COS(RADIANS(C742)) * COS(RADIANS('Hydrologie-Méthode rationnelle'!$C$22))) * (COS(RADIANS(D742) - RADIANS('Hydrologie-Méthode rationnelle'!$C$23)))) * 6371)</f>
        <v/>
      </c>
    </row>
    <row r="743" spans="5:5">
      <c r="E743" s="263" t="str">
        <f>IF(OR(C743="",D743=""),"",ACOS((SIN(RADIANS(C743)) * SIN(RADIANS('Hydrologie-Méthode rationnelle'!$C$22))) + (COS(RADIANS(C743)) * COS(RADIANS('Hydrologie-Méthode rationnelle'!$C$22))) * (COS(RADIANS(D743) - RADIANS('Hydrologie-Méthode rationnelle'!$C$23)))) * 6371)</f>
        <v/>
      </c>
    </row>
    <row r="744" spans="5:5">
      <c r="E744" s="263" t="str">
        <f>IF(OR(C744="",D744=""),"",ACOS((SIN(RADIANS(C744)) * SIN(RADIANS('Hydrologie-Méthode rationnelle'!$C$22))) + (COS(RADIANS(C744)) * COS(RADIANS('Hydrologie-Méthode rationnelle'!$C$22))) * (COS(RADIANS(D744) - RADIANS('Hydrologie-Méthode rationnelle'!$C$23)))) * 6371)</f>
        <v/>
      </c>
    </row>
    <row r="745" spans="5:5">
      <c r="E745" s="263" t="str">
        <f>IF(OR(C745="",D745=""),"",ACOS((SIN(RADIANS(C745)) * SIN(RADIANS('Hydrologie-Méthode rationnelle'!$C$22))) + (COS(RADIANS(C745)) * COS(RADIANS('Hydrologie-Méthode rationnelle'!$C$22))) * (COS(RADIANS(D745) - RADIANS('Hydrologie-Méthode rationnelle'!$C$23)))) * 6371)</f>
        <v/>
      </c>
    </row>
    <row r="746" spans="5:5">
      <c r="E746" s="263" t="str">
        <f>IF(OR(C746="",D746=""),"",ACOS((SIN(RADIANS(C746)) * SIN(RADIANS('Hydrologie-Méthode rationnelle'!$C$22))) + (COS(RADIANS(C746)) * COS(RADIANS('Hydrologie-Méthode rationnelle'!$C$22))) * (COS(RADIANS(D746) - RADIANS('Hydrologie-Méthode rationnelle'!$C$23)))) * 6371)</f>
        <v/>
      </c>
    </row>
    <row r="747" spans="5:5">
      <c r="E747" s="263" t="str">
        <f>IF(OR(C747="",D747=""),"",ACOS((SIN(RADIANS(C747)) * SIN(RADIANS('Hydrologie-Méthode rationnelle'!$C$22))) + (COS(RADIANS(C747)) * COS(RADIANS('Hydrologie-Méthode rationnelle'!$C$22))) * (COS(RADIANS(D747) - RADIANS('Hydrologie-Méthode rationnelle'!$C$23)))) * 6371)</f>
        <v/>
      </c>
    </row>
    <row r="748" spans="5:5">
      <c r="E748" s="263" t="str">
        <f>IF(OR(C748="",D748=""),"",ACOS((SIN(RADIANS(C748)) * SIN(RADIANS('Hydrologie-Méthode rationnelle'!$C$22))) + (COS(RADIANS(C748)) * COS(RADIANS('Hydrologie-Méthode rationnelle'!$C$22))) * (COS(RADIANS(D748) - RADIANS('Hydrologie-Méthode rationnelle'!$C$23)))) * 6371)</f>
        <v/>
      </c>
    </row>
    <row r="749" spans="5:5">
      <c r="E749" s="263" t="str">
        <f>IF(OR(C749="",D749=""),"",ACOS((SIN(RADIANS(C749)) * SIN(RADIANS('Hydrologie-Méthode rationnelle'!$C$22))) + (COS(RADIANS(C749)) * COS(RADIANS('Hydrologie-Méthode rationnelle'!$C$22))) * (COS(RADIANS(D749) - RADIANS('Hydrologie-Méthode rationnelle'!$C$23)))) * 6371)</f>
        <v/>
      </c>
    </row>
    <row r="750" spans="5:5">
      <c r="E750" s="263" t="str">
        <f>IF(OR(C750="",D750=""),"",ACOS((SIN(RADIANS(C750)) * SIN(RADIANS('Hydrologie-Méthode rationnelle'!$C$22))) + (COS(RADIANS(C750)) * COS(RADIANS('Hydrologie-Méthode rationnelle'!$C$22))) * (COS(RADIANS(D750) - RADIANS('Hydrologie-Méthode rationnelle'!$C$23)))) * 6371)</f>
        <v/>
      </c>
    </row>
    <row r="751" spans="5:5">
      <c r="E751" s="263" t="str">
        <f>IF(OR(C751="",D751=""),"",ACOS((SIN(RADIANS(C751)) * SIN(RADIANS('Hydrologie-Méthode rationnelle'!$C$22))) + (COS(RADIANS(C751)) * COS(RADIANS('Hydrologie-Méthode rationnelle'!$C$22))) * (COS(RADIANS(D751) - RADIANS('Hydrologie-Méthode rationnelle'!$C$23)))) * 6371)</f>
        <v/>
      </c>
    </row>
    <row r="752" spans="5:5">
      <c r="E752" s="263" t="str">
        <f>IF(OR(C752="",D752=""),"",ACOS((SIN(RADIANS(C752)) * SIN(RADIANS('Hydrologie-Méthode rationnelle'!$C$22))) + (COS(RADIANS(C752)) * COS(RADIANS('Hydrologie-Méthode rationnelle'!$C$22))) * (COS(RADIANS(D752) - RADIANS('Hydrologie-Méthode rationnelle'!$C$23)))) * 6371)</f>
        <v/>
      </c>
    </row>
    <row r="753" spans="5:5">
      <c r="E753" s="263" t="str">
        <f>IF(OR(C753="",D753=""),"",ACOS((SIN(RADIANS(C753)) * SIN(RADIANS('Hydrologie-Méthode rationnelle'!$C$22))) + (COS(RADIANS(C753)) * COS(RADIANS('Hydrologie-Méthode rationnelle'!$C$22))) * (COS(RADIANS(D753) - RADIANS('Hydrologie-Méthode rationnelle'!$C$23)))) * 6371)</f>
        <v/>
      </c>
    </row>
    <row r="754" spans="5:5">
      <c r="E754" s="263" t="str">
        <f>IF(OR(C754="",D754=""),"",ACOS((SIN(RADIANS(C754)) * SIN(RADIANS('Hydrologie-Méthode rationnelle'!$C$22))) + (COS(RADIANS(C754)) * COS(RADIANS('Hydrologie-Méthode rationnelle'!$C$22))) * (COS(RADIANS(D754) - RADIANS('Hydrologie-Méthode rationnelle'!$C$23)))) * 6371)</f>
        <v/>
      </c>
    </row>
    <row r="755" spans="5:5">
      <c r="E755" s="263" t="str">
        <f>IF(OR(C755="",D755=""),"",ACOS((SIN(RADIANS(C755)) * SIN(RADIANS('Hydrologie-Méthode rationnelle'!$C$22))) + (COS(RADIANS(C755)) * COS(RADIANS('Hydrologie-Méthode rationnelle'!$C$22))) * (COS(RADIANS(D755) - RADIANS('Hydrologie-Méthode rationnelle'!$C$23)))) * 6371)</f>
        <v/>
      </c>
    </row>
    <row r="756" spans="5:5">
      <c r="E756" s="263" t="str">
        <f>IF(OR(C756="",D756=""),"",ACOS((SIN(RADIANS(C756)) * SIN(RADIANS('Hydrologie-Méthode rationnelle'!$C$22))) + (COS(RADIANS(C756)) * COS(RADIANS('Hydrologie-Méthode rationnelle'!$C$22))) * (COS(RADIANS(D756) - RADIANS('Hydrologie-Méthode rationnelle'!$C$23)))) * 6371)</f>
        <v/>
      </c>
    </row>
    <row r="757" spans="5:5">
      <c r="E757" s="263" t="str">
        <f>IF(OR(C757="",D757=""),"",ACOS((SIN(RADIANS(C757)) * SIN(RADIANS('Hydrologie-Méthode rationnelle'!$C$22))) + (COS(RADIANS(C757)) * COS(RADIANS('Hydrologie-Méthode rationnelle'!$C$22))) * (COS(RADIANS(D757) - RADIANS('Hydrologie-Méthode rationnelle'!$C$23)))) * 6371)</f>
        <v/>
      </c>
    </row>
    <row r="758" spans="5:5">
      <c r="E758" s="263" t="str">
        <f>IF(OR(C758="",D758=""),"",ACOS((SIN(RADIANS(C758)) * SIN(RADIANS('Hydrologie-Méthode rationnelle'!$C$22))) + (COS(RADIANS(C758)) * COS(RADIANS('Hydrologie-Méthode rationnelle'!$C$22))) * (COS(RADIANS(D758) - RADIANS('Hydrologie-Méthode rationnelle'!$C$23)))) * 6371)</f>
        <v/>
      </c>
    </row>
    <row r="759" spans="5:5">
      <c r="E759" s="263" t="str">
        <f>IF(OR(C759="",D759=""),"",ACOS((SIN(RADIANS(C759)) * SIN(RADIANS('Hydrologie-Méthode rationnelle'!$C$22))) + (COS(RADIANS(C759)) * COS(RADIANS('Hydrologie-Méthode rationnelle'!$C$22))) * (COS(RADIANS(D759) - RADIANS('Hydrologie-Méthode rationnelle'!$C$23)))) * 6371)</f>
        <v/>
      </c>
    </row>
    <row r="760" spans="5:5">
      <c r="E760" s="263" t="str">
        <f>IF(OR(C760="",D760=""),"",ACOS((SIN(RADIANS(C760)) * SIN(RADIANS('Hydrologie-Méthode rationnelle'!$C$22))) + (COS(RADIANS(C760)) * COS(RADIANS('Hydrologie-Méthode rationnelle'!$C$22))) * (COS(RADIANS(D760) - RADIANS('Hydrologie-Méthode rationnelle'!$C$23)))) * 6371)</f>
        <v/>
      </c>
    </row>
    <row r="761" spans="5:5">
      <c r="E761" s="263" t="str">
        <f>IF(OR(C761="",D761=""),"",ACOS((SIN(RADIANS(C761)) * SIN(RADIANS('Hydrologie-Méthode rationnelle'!$C$22))) + (COS(RADIANS(C761)) * COS(RADIANS('Hydrologie-Méthode rationnelle'!$C$22))) * (COS(RADIANS(D761) - RADIANS('Hydrologie-Méthode rationnelle'!$C$23)))) * 6371)</f>
        <v/>
      </c>
    </row>
    <row r="762" spans="5:5">
      <c r="E762" s="263" t="str">
        <f>IF(OR(C762="",D762=""),"",ACOS((SIN(RADIANS(C762)) * SIN(RADIANS('Hydrologie-Méthode rationnelle'!$C$22))) + (COS(RADIANS(C762)) * COS(RADIANS('Hydrologie-Méthode rationnelle'!$C$22))) * (COS(RADIANS(D762) - RADIANS('Hydrologie-Méthode rationnelle'!$C$23)))) * 6371)</f>
        <v/>
      </c>
    </row>
    <row r="763" spans="5:5">
      <c r="E763" s="263" t="str">
        <f>IF(OR(C763="",D763=""),"",ACOS((SIN(RADIANS(C763)) * SIN(RADIANS('Hydrologie-Méthode rationnelle'!$C$22))) + (COS(RADIANS(C763)) * COS(RADIANS('Hydrologie-Méthode rationnelle'!$C$22))) * (COS(RADIANS(D763) - RADIANS('Hydrologie-Méthode rationnelle'!$C$23)))) * 6371)</f>
        <v/>
      </c>
    </row>
    <row r="764" spans="5:5">
      <c r="E764" s="263" t="str">
        <f>IF(OR(C764="",D764=""),"",ACOS((SIN(RADIANS(C764)) * SIN(RADIANS('Hydrologie-Méthode rationnelle'!$C$22))) + (COS(RADIANS(C764)) * COS(RADIANS('Hydrologie-Méthode rationnelle'!$C$22))) * (COS(RADIANS(D764) - RADIANS('Hydrologie-Méthode rationnelle'!$C$23)))) * 6371)</f>
        <v/>
      </c>
    </row>
    <row r="765" spans="5:5">
      <c r="E765" s="263" t="str">
        <f>IF(OR(C765="",D765=""),"",ACOS((SIN(RADIANS(C765)) * SIN(RADIANS('Hydrologie-Méthode rationnelle'!$C$22))) + (COS(RADIANS(C765)) * COS(RADIANS('Hydrologie-Méthode rationnelle'!$C$22))) * (COS(RADIANS(D765) - RADIANS('Hydrologie-Méthode rationnelle'!$C$23)))) * 6371)</f>
        <v/>
      </c>
    </row>
    <row r="766" spans="5:5">
      <c r="E766" s="263" t="str">
        <f>IF(OR(C766="",D766=""),"",ACOS((SIN(RADIANS(C766)) * SIN(RADIANS('Hydrologie-Méthode rationnelle'!$C$22))) + (COS(RADIANS(C766)) * COS(RADIANS('Hydrologie-Méthode rationnelle'!$C$22))) * (COS(RADIANS(D766) - RADIANS('Hydrologie-Méthode rationnelle'!$C$23)))) * 6371)</f>
        <v/>
      </c>
    </row>
    <row r="767" spans="5:5">
      <c r="E767" s="263" t="str">
        <f>IF(OR(C767="",D767=""),"",ACOS((SIN(RADIANS(C767)) * SIN(RADIANS('Hydrologie-Méthode rationnelle'!$C$22))) + (COS(RADIANS(C767)) * COS(RADIANS('Hydrologie-Méthode rationnelle'!$C$22))) * (COS(RADIANS(D767) - RADIANS('Hydrologie-Méthode rationnelle'!$C$23)))) * 6371)</f>
        <v/>
      </c>
    </row>
    <row r="768" spans="5:5">
      <c r="E768" s="263" t="str">
        <f>IF(OR(C768="",D768=""),"",ACOS((SIN(RADIANS(C768)) * SIN(RADIANS('Hydrologie-Méthode rationnelle'!$C$22))) + (COS(RADIANS(C768)) * COS(RADIANS('Hydrologie-Méthode rationnelle'!$C$22))) * (COS(RADIANS(D768) - RADIANS('Hydrologie-Méthode rationnelle'!$C$23)))) * 6371)</f>
        <v/>
      </c>
    </row>
    <row r="769" spans="5:5">
      <c r="E769" s="263" t="str">
        <f>IF(OR(C769="",D769=""),"",ACOS((SIN(RADIANS(C769)) * SIN(RADIANS('Hydrologie-Méthode rationnelle'!$C$22))) + (COS(RADIANS(C769)) * COS(RADIANS('Hydrologie-Méthode rationnelle'!$C$22))) * (COS(RADIANS(D769) - RADIANS('Hydrologie-Méthode rationnelle'!$C$23)))) * 6371)</f>
        <v/>
      </c>
    </row>
    <row r="770" spans="5:5">
      <c r="E770" s="263" t="str">
        <f>IF(OR(C770="",D770=""),"",ACOS((SIN(RADIANS(C770)) * SIN(RADIANS('Hydrologie-Méthode rationnelle'!$C$22))) + (COS(RADIANS(C770)) * COS(RADIANS('Hydrologie-Méthode rationnelle'!$C$22))) * (COS(RADIANS(D770) - RADIANS('Hydrologie-Méthode rationnelle'!$C$23)))) * 6371)</f>
        <v/>
      </c>
    </row>
    <row r="771" spans="5:5">
      <c r="E771" s="263" t="str">
        <f>IF(OR(C771="",D771=""),"",ACOS((SIN(RADIANS(C771)) * SIN(RADIANS('Hydrologie-Méthode rationnelle'!$C$22))) + (COS(RADIANS(C771)) * COS(RADIANS('Hydrologie-Méthode rationnelle'!$C$22))) * (COS(RADIANS(D771) - RADIANS('Hydrologie-Méthode rationnelle'!$C$23)))) * 6371)</f>
        <v/>
      </c>
    </row>
    <row r="772" spans="5:5">
      <c r="E772" s="263" t="str">
        <f>IF(OR(C772="",D772=""),"",ACOS((SIN(RADIANS(C772)) * SIN(RADIANS('Hydrologie-Méthode rationnelle'!$C$22))) + (COS(RADIANS(C772)) * COS(RADIANS('Hydrologie-Méthode rationnelle'!$C$22))) * (COS(RADIANS(D772) - RADIANS('Hydrologie-Méthode rationnelle'!$C$23)))) * 6371)</f>
        <v/>
      </c>
    </row>
    <row r="773" spans="5:5">
      <c r="E773" s="263" t="str">
        <f>IF(OR(C773="",D773=""),"",ACOS((SIN(RADIANS(C773)) * SIN(RADIANS('Hydrologie-Méthode rationnelle'!$C$22))) + (COS(RADIANS(C773)) * COS(RADIANS('Hydrologie-Méthode rationnelle'!$C$22))) * (COS(RADIANS(D773) - RADIANS('Hydrologie-Méthode rationnelle'!$C$23)))) * 6371)</f>
        <v/>
      </c>
    </row>
    <row r="774" spans="5:5">
      <c r="E774" s="263" t="str">
        <f>IF(OR(C774="",D774=""),"",ACOS((SIN(RADIANS(C774)) * SIN(RADIANS('Hydrologie-Méthode rationnelle'!$C$22))) + (COS(RADIANS(C774)) * COS(RADIANS('Hydrologie-Méthode rationnelle'!$C$22))) * (COS(RADIANS(D774) - RADIANS('Hydrologie-Méthode rationnelle'!$C$23)))) * 6371)</f>
        <v/>
      </c>
    </row>
    <row r="775" spans="5:5">
      <c r="E775" s="263" t="str">
        <f>IF(OR(C775="",D775=""),"",ACOS((SIN(RADIANS(C775)) * SIN(RADIANS('Hydrologie-Méthode rationnelle'!$C$22))) + (COS(RADIANS(C775)) * COS(RADIANS('Hydrologie-Méthode rationnelle'!$C$22))) * (COS(RADIANS(D775) - RADIANS('Hydrologie-Méthode rationnelle'!$C$23)))) * 6371)</f>
        <v/>
      </c>
    </row>
    <row r="776" spans="5:5">
      <c r="E776" s="263" t="str">
        <f>IF(OR(C776="",D776=""),"",ACOS((SIN(RADIANS(C776)) * SIN(RADIANS('Hydrologie-Méthode rationnelle'!$C$22))) + (COS(RADIANS(C776)) * COS(RADIANS('Hydrologie-Méthode rationnelle'!$C$22))) * (COS(RADIANS(D776) - RADIANS('Hydrologie-Méthode rationnelle'!$C$23)))) * 6371)</f>
        <v/>
      </c>
    </row>
    <row r="777" spans="5:5">
      <c r="E777" s="263" t="str">
        <f>IF(OR(C777="",D777=""),"",ACOS((SIN(RADIANS(C777)) * SIN(RADIANS('Hydrologie-Méthode rationnelle'!$C$22))) + (COS(RADIANS(C777)) * COS(RADIANS('Hydrologie-Méthode rationnelle'!$C$22))) * (COS(RADIANS(D777) - RADIANS('Hydrologie-Méthode rationnelle'!$C$23)))) * 6371)</f>
        <v/>
      </c>
    </row>
    <row r="778" spans="5:5">
      <c r="E778" s="263" t="str">
        <f>IF(OR(C778="",D778=""),"",ACOS((SIN(RADIANS(C778)) * SIN(RADIANS('Hydrologie-Méthode rationnelle'!$C$22))) + (COS(RADIANS(C778)) * COS(RADIANS('Hydrologie-Méthode rationnelle'!$C$22))) * (COS(RADIANS(D778) - RADIANS('Hydrologie-Méthode rationnelle'!$C$23)))) * 6371)</f>
        <v/>
      </c>
    </row>
    <row r="779" spans="5:5">
      <c r="E779" s="263" t="str">
        <f>IF(OR(C779="",D779=""),"",ACOS((SIN(RADIANS(C779)) * SIN(RADIANS('Hydrologie-Méthode rationnelle'!$C$22))) + (COS(RADIANS(C779)) * COS(RADIANS('Hydrologie-Méthode rationnelle'!$C$22))) * (COS(RADIANS(D779) - RADIANS('Hydrologie-Méthode rationnelle'!$C$23)))) * 6371)</f>
        <v/>
      </c>
    </row>
    <row r="780" spans="5:5">
      <c r="E780" s="263" t="str">
        <f>IF(OR(C780="",D780=""),"",ACOS((SIN(RADIANS(C780)) * SIN(RADIANS('Hydrologie-Méthode rationnelle'!$C$22))) + (COS(RADIANS(C780)) * COS(RADIANS('Hydrologie-Méthode rationnelle'!$C$22))) * (COS(RADIANS(D780) - RADIANS('Hydrologie-Méthode rationnelle'!$C$23)))) * 6371)</f>
        <v/>
      </c>
    </row>
    <row r="781" spans="5:5">
      <c r="E781" s="263" t="str">
        <f>IF(OR(C781="",D781=""),"",ACOS((SIN(RADIANS(C781)) * SIN(RADIANS('Hydrologie-Méthode rationnelle'!$C$22))) + (COS(RADIANS(C781)) * COS(RADIANS('Hydrologie-Méthode rationnelle'!$C$22))) * (COS(RADIANS(D781) - RADIANS('Hydrologie-Méthode rationnelle'!$C$23)))) * 6371)</f>
        <v/>
      </c>
    </row>
    <row r="782" spans="5:5">
      <c r="E782" s="263" t="str">
        <f>IF(OR(C782="",D782=""),"",ACOS((SIN(RADIANS(C782)) * SIN(RADIANS('Hydrologie-Méthode rationnelle'!$C$22))) + (COS(RADIANS(C782)) * COS(RADIANS('Hydrologie-Méthode rationnelle'!$C$22))) * (COS(RADIANS(D782) - RADIANS('Hydrologie-Méthode rationnelle'!$C$23)))) * 6371)</f>
        <v/>
      </c>
    </row>
    <row r="783" spans="5:5">
      <c r="E783" s="263" t="str">
        <f>IF(OR(C783="",D783=""),"",ACOS((SIN(RADIANS(C783)) * SIN(RADIANS('Hydrologie-Méthode rationnelle'!$C$22))) + (COS(RADIANS(C783)) * COS(RADIANS('Hydrologie-Méthode rationnelle'!$C$22))) * (COS(RADIANS(D783) - RADIANS('Hydrologie-Méthode rationnelle'!$C$23)))) * 6371)</f>
        <v/>
      </c>
    </row>
    <row r="784" spans="5:5">
      <c r="E784" s="263" t="str">
        <f>IF(OR(C784="",D784=""),"",ACOS((SIN(RADIANS(C784)) * SIN(RADIANS('Hydrologie-Méthode rationnelle'!$C$22))) + (COS(RADIANS(C784)) * COS(RADIANS('Hydrologie-Méthode rationnelle'!$C$22))) * (COS(RADIANS(D784) - RADIANS('Hydrologie-Méthode rationnelle'!$C$23)))) * 6371)</f>
        <v/>
      </c>
    </row>
    <row r="785" spans="5:5">
      <c r="E785" s="263" t="str">
        <f>IF(OR(C785="",D785=""),"",ACOS((SIN(RADIANS(C785)) * SIN(RADIANS('Hydrologie-Méthode rationnelle'!$C$22))) + (COS(RADIANS(C785)) * COS(RADIANS('Hydrologie-Méthode rationnelle'!$C$22))) * (COS(RADIANS(D785) - RADIANS('Hydrologie-Méthode rationnelle'!$C$23)))) * 6371)</f>
        <v/>
      </c>
    </row>
    <row r="786" spans="5:5">
      <c r="E786" s="263" t="str">
        <f>IF(OR(C786="",D786=""),"",ACOS((SIN(RADIANS(C786)) * SIN(RADIANS('Hydrologie-Méthode rationnelle'!$C$22))) + (COS(RADIANS(C786)) * COS(RADIANS('Hydrologie-Méthode rationnelle'!$C$22))) * (COS(RADIANS(D786) - RADIANS('Hydrologie-Méthode rationnelle'!$C$23)))) * 6371)</f>
        <v/>
      </c>
    </row>
    <row r="787" spans="5:5">
      <c r="E787" s="263" t="str">
        <f>IF(OR(C787="",D787=""),"",ACOS((SIN(RADIANS(C787)) * SIN(RADIANS('Hydrologie-Méthode rationnelle'!$C$22))) + (COS(RADIANS(C787)) * COS(RADIANS('Hydrologie-Méthode rationnelle'!$C$22))) * (COS(RADIANS(D787) - RADIANS('Hydrologie-Méthode rationnelle'!$C$23)))) * 6371)</f>
        <v/>
      </c>
    </row>
    <row r="788" spans="5:5">
      <c r="E788" s="263" t="str">
        <f>IF(OR(C788="",D788=""),"",ACOS((SIN(RADIANS(C788)) * SIN(RADIANS('Hydrologie-Méthode rationnelle'!$C$22))) + (COS(RADIANS(C788)) * COS(RADIANS('Hydrologie-Méthode rationnelle'!$C$22))) * (COS(RADIANS(D788) - RADIANS('Hydrologie-Méthode rationnelle'!$C$23)))) * 6371)</f>
        <v/>
      </c>
    </row>
    <row r="789" spans="5:5">
      <c r="E789" s="263" t="str">
        <f>IF(OR(C789="",D789=""),"",ACOS((SIN(RADIANS(C789)) * SIN(RADIANS('Hydrologie-Méthode rationnelle'!$C$22))) + (COS(RADIANS(C789)) * COS(RADIANS('Hydrologie-Méthode rationnelle'!$C$22))) * (COS(RADIANS(D789) - RADIANS('Hydrologie-Méthode rationnelle'!$C$23)))) * 6371)</f>
        <v/>
      </c>
    </row>
    <row r="790" spans="5:5">
      <c r="E790" s="263" t="str">
        <f>IF(OR(C790="",D790=""),"",ACOS((SIN(RADIANS(C790)) * SIN(RADIANS('Hydrologie-Méthode rationnelle'!$C$22))) + (COS(RADIANS(C790)) * COS(RADIANS('Hydrologie-Méthode rationnelle'!$C$22))) * (COS(RADIANS(D790) - RADIANS('Hydrologie-Méthode rationnelle'!$C$23)))) * 6371)</f>
        <v/>
      </c>
    </row>
    <row r="791" spans="5:5">
      <c r="E791" s="263" t="str">
        <f>IF(OR(C791="",D791=""),"",ACOS((SIN(RADIANS(C791)) * SIN(RADIANS('Hydrologie-Méthode rationnelle'!$C$22))) + (COS(RADIANS(C791)) * COS(RADIANS('Hydrologie-Méthode rationnelle'!$C$22))) * (COS(RADIANS(D791) - RADIANS('Hydrologie-Méthode rationnelle'!$C$23)))) * 6371)</f>
        <v/>
      </c>
    </row>
    <row r="792" spans="5:5">
      <c r="E792" s="263" t="str">
        <f>IF(OR(C792="",D792=""),"",ACOS((SIN(RADIANS(C792)) * SIN(RADIANS('Hydrologie-Méthode rationnelle'!$C$22))) + (COS(RADIANS(C792)) * COS(RADIANS('Hydrologie-Méthode rationnelle'!$C$22))) * (COS(RADIANS(D792) - RADIANS('Hydrologie-Méthode rationnelle'!$C$23)))) * 6371)</f>
        <v/>
      </c>
    </row>
    <row r="793" spans="5:5">
      <c r="E793" s="263" t="str">
        <f>IF(OR(C793="",D793=""),"",ACOS((SIN(RADIANS(C793)) * SIN(RADIANS('Hydrologie-Méthode rationnelle'!$C$22))) + (COS(RADIANS(C793)) * COS(RADIANS('Hydrologie-Méthode rationnelle'!$C$22))) * (COS(RADIANS(D793) - RADIANS('Hydrologie-Méthode rationnelle'!$C$23)))) * 6371)</f>
        <v/>
      </c>
    </row>
    <row r="794" spans="5:5">
      <c r="E794" s="263" t="str">
        <f>IF(OR(C794="",D794=""),"",ACOS((SIN(RADIANS(C794)) * SIN(RADIANS('Hydrologie-Méthode rationnelle'!$C$22))) + (COS(RADIANS(C794)) * COS(RADIANS('Hydrologie-Méthode rationnelle'!$C$22))) * (COS(RADIANS(D794) - RADIANS('Hydrologie-Méthode rationnelle'!$C$23)))) * 6371)</f>
        <v/>
      </c>
    </row>
    <row r="795" spans="5:5">
      <c r="E795" s="263" t="str">
        <f>IF(OR(C795="",D795=""),"",ACOS((SIN(RADIANS(C795)) * SIN(RADIANS('Hydrologie-Méthode rationnelle'!$C$22))) + (COS(RADIANS(C795)) * COS(RADIANS('Hydrologie-Méthode rationnelle'!$C$22))) * (COS(RADIANS(D795) - RADIANS('Hydrologie-Méthode rationnelle'!$C$23)))) * 6371)</f>
        <v/>
      </c>
    </row>
    <row r="796" spans="5:5">
      <c r="E796" s="263" t="str">
        <f>IF(OR(C796="",D796=""),"",ACOS((SIN(RADIANS(C796)) * SIN(RADIANS('Hydrologie-Méthode rationnelle'!$C$22))) + (COS(RADIANS(C796)) * COS(RADIANS('Hydrologie-Méthode rationnelle'!$C$22))) * (COS(RADIANS(D796) - RADIANS('Hydrologie-Méthode rationnelle'!$C$23)))) * 6371)</f>
        <v/>
      </c>
    </row>
    <row r="797" spans="5:5">
      <c r="E797" s="263" t="str">
        <f>IF(OR(C797="",D797=""),"",ACOS((SIN(RADIANS(C797)) * SIN(RADIANS('Hydrologie-Méthode rationnelle'!$C$22))) + (COS(RADIANS(C797)) * COS(RADIANS('Hydrologie-Méthode rationnelle'!$C$22))) * (COS(RADIANS(D797) - RADIANS('Hydrologie-Méthode rationnelle'!$C$23)))) * 6371)</f>
        <v/>
      </c>
    </row>
    <row r="798" spans="5:5">
      <c r="E798" s="263" t="str">
        <f>IF(OR(C798="",D798=""),"",ACOS((SIN(RADIANS(C798)) * SIN(RADIANS('Hydrologie-Méthode rationnelle'!$C$22))) + (COS(RADIANS(C798)) * COS(RADIANS('Hydrologie-Méthode rationnelle'!$C$22))) * (COS(RADIANS(D798) - RADIANS('Hydrologie-Méthode rationnelle'!$C$23)))) * 6371)</f>
        <v/>
      </c>
    </row>
    <row r="799" spans="5:5">
      <c r="E799" s="263" t="str">
        <f>IF(OR(C799="",D799=""),"",ACOS((SIN(RADIANS(C799)) * SIN(RADIANS('Hydrologie-Méthode rationnelle'!$C$22))) + (COS(RADIANS(C799)) * COS(RADIANS('Hydrologie-Méthode rationnelle'!$C$22))) * (COS(RADIANS(D799) - RADIANS('Hydrologie-Méthode rationnelle'!$C$23)))) * 6371)</f>
        <v/>
      </c>
    </row>
    <row r="800" spans="5:5">
      <c r="E800" s="263" t="str">
        <f>IF(OR(C800="",D800=""),"",ACOS((SIN(RADIANS(C800)) * SIN(RADIANS('Hydrologie-Méthode rationnelle'!$C$22))) + (COS(RADIANS(C800)) * COS(RADIANS('Hydrologie-Méthode rationnelle'!$C$22))) * (COS(RADIANS(D800) - RADIANS('Hydrologie-Méthode rationnelle'!$C$23)))) * 6371)</f>
        <v/>
      </c>
    </row>
    <row r="801" spans="5:5">
      <c r="E801" s="263" t="str">
        <f>IF(OR(C801="",D801=""),"",ACOS((SIN(RADIANS(C801)) * SIN(RADIANS('Hydrologie-Méthode rationnelle'!$C$22))) + (COS(RADIANS(C801)) * COS(RADIANS('Hydrologie-Méthode rationnelle'!$C$22))) * (COS(RADIANS(D801) - RADIANS('Hydrologie-Méthode rationnelle'!$C$23)))) * 6371)</f>
        <v/>
      </c>
    </row>
    <row r="802" spans="5:5">
      <c r="E802" s="263" t="str">
        <f>IF(OR(C802="",D802=""),"",ACOS((SIN(RADIANS(C802)) * SIN(RADIANS('Hydrologie-Méthode rationnelle'!$C$22))) + (COS(RADIANS(C802)) * COS(RADIANS('Hydrologie-Méthode rationnelle'!$C$22))) * (COS(RADIANS(D802) - RADIANS('Hydrologie-Méthode rationnelle'!$C$23)))) * 6371)</f>
        <v/>
      </c>
    </row>
    <row r="803" spans="5:5">
      <c r="E803" s="263" t="str">
        <f>IF(OR(C803="",D803=""),"",ACOS((SIN(RADIANS(C803)) * SIN(RADIANS('Hydrologie-Méthode rationnelle'!$C$22))) + (COS(RADIANS(C803)) * COS(RADIANS('Hydrologie-Méthode rationnelle'!$C$22))) * (COS(RADIANS(D803) - RADIANS('Hydrologie-Méthode rationnelle'!$C$23)))) * 6371)</f>
        <v/>
      </c>
    </row>
    <row r="804" spans="5:5">
      <c r="E804" s="263" t="str">
        <f>IF(OR(C804="",D804=""),"",ACOS((SIN(RADIANS(C804)) * SIN(RADIANS('Hydrologie-Méthode rationnelle'!$C$22))) + (COS(RADIANS(C804)) * COS(RADIANS('Hydrologie-Méthode rationnelle'!$C$22))) * (COS(RADIANS(D804) - RADIANS('Hydrologie-Méthode rationnelle'!$C$23)))) * 6371)</f>
        <v/>
      </c>
    </row>
    <row r="805" spans="5:5">
      <c r="E805" s="263" t="str">
        <f>IF(OR(C805="",D805=""),"",ACOS((SIN(RADIANS(C805)) * SIN(RADIANS('Hydrologie-Méthode rationnelle'!$C$22))) + (COS(RADIANS(C805)) * COS(RADIANS('Hydrologie-Méthode rationnelle'!$C$22))) * (COS(RADIANS(D805) - RADIANS('Hydrologie-Méthode rationnelle'!$C$23)))) * 6371)</f>
        <v/>
      </c>
    </row>
    <row r="806" spans="5:5">
      <c r="E806" s="263" t="str">
        <f>IF(OR(C806="",D806=""),"",ACOS((SIN(RADIANS(C806)) * SIN(RADIANS('Hydrologie-Méthode rationnelle'!$C$22))) + (COS(RADIANS(C806)) * COS(RADIANS('Hydrologie-Méthode rationnelle'!$C$22))) * (COS(RADIANS(D806) - RADIANS('Hydrologie-Méthode rationnelle'!$C$23)))) * 6371)</f>
        <v/>
      </c>
    </row>
    <row r="807" spans="5:5">
      <c r="E807" s="263" t="str">
        <f>IF(OR(C807="",D807=""),"",ACOS((SIN(RADIANS(C807)) * SIN(RADIANS('Hydrologie-Méthode rationnelle'!$C$22))) + (COS(RADIANS(C807)) * COS(RADIANS('Hydrologie-Méthode rationnelle'!$C$22))) * (COS(RADIANS(D807) - RADIANS('Hydrologie-Méthode rationnelle'!$C$23)))) * 6371)</f>
        <v/>
      </c>
    </row>
    <row r="808" spans="5:5">
      <c r="E808" s="263" t="str">
        <f>IF(OR(C808="",D808=""),"",ACOS((SIN(RADIANS(C808)) * SIN(RADIANS('Hydrologie-Méthode rationnelle'!$C$22))) + (COS(RADIANS(C808)) * COS(RADIANS('Hydrologie-Méthode rationnelle'!$C$22))) * (COS(RADIANS(D808) - RADIANS('Hydrologie-Méthode rationnelle'!$C$23)))) * 6371)</f>
        <v/>
      </c>
    </row>
    <row r="809" spans="5:5">
      <c r="E809" s="263" t="str">
        <f>IF(OR(C809="",D809=""),"",ACOS((SIN(RADIANS(C809)) * SIN(RADIANS('Hydrologie-Méthode rationnelle'!$C$22))) + (COS(RADIANS(C809)) * COS(RADIANS('Hydrologie-Méthode rationnelle'!$C$22))) * (COS(RADIANS(D809) - RADIANS('Hydrologie-Méthode rationnelle'!$C$23)))) * 6371)</f>
        <v/>
      </c>
    </row>
    <row r="810" spans="5:5">
      <c r="E810" s="263" t="str">
        <f>IF(OR(C810="",D810=""),"",ACOS((SIN(RADIANS(C810)) * SIN(RADIANS('Hydrologie-Méthode rationnelle'!$C$22))) + (COS(RADIANS(C810)) * COS(RADIANS('Hydrologie-Méthode rationnelle'!$C$22))) * (COS(RADIANS(D810) - RADIANS('Hydrologie-Méthode rationnelle'!$C$23)))) * 6371)</f>
        <v/>
      </c>
    </row>
    <row r="811" spans="5:5">
      <c r="E811" s="263" t="str">
        <f>IF(OR(C811="",D811=""),"",ACOS((SIN(RADIANS(C811)) * SIN(RADIANS('Hydrologie-Méthode rationnelle'!$C$22))) + (COS(RADIANS(C811)) * COS(RADIANS('Hydrologie-Méthode rationnelle'!$C$22))) * (COS(RADIANS(D811) - RADIANS('Hydrologie-Méthode rationnelle'!$C$23)))) * 6371)</f>
        <v/>
      </c>
    </row>
    <row r="812" spans="5:5">
      <c r="E812" s="263" t="str">
        <f>IF(OR(C812="",D812=""),"",ACOS((SIN(RADIANS(C812)) * SIN(RADIANS('Hydrologie-Méthode rationnelle'!$C$22))) + (COS(RADIANS(C812)) * COS(RADIANS('Hydrologie-Méthode rationnelle'!$C$22))) * (COS(RADIANS(D812) - RADIANS('Hydrologie-Méthode rationnelle'!$C$23)))) * 6371)</f>
        <v/>
      </c>
    </row>
    <row r="813" spans="5:5">
      <c r="E813" s="263" t="str">
        <f>IF(OR(C813="",D813=""),"",ACOS((SIN(RADIANS(C813)) * SIN(RADIANS('Hydrologie-Méthode rationnelle'!$C$22))) + (COS(RADIANS(C813)) * COS(RADIANS('Hydrologie-Méthode rationnelle'!$C$22))) * (COS(RADIANS(D813) - RADIANS('Hydrologie-Méthode rationnelle'!$C$23)))) * 6371)</f>
        <v/>
      </c>
    </row>
    <row r="814" spans="5:5">
      <c r="E814" s="263" t="str">
        <f>IF(OR(C814="",D814=""),"",ACOS((SIN(RADIANS(C814)) * SIN(RADIANS('Hydrologie-Méthode rationnelle'!$C$22))) + (COS(RADIANS(C814)) * COS(RADIANS('Hydrologie-Méthode rationnelle'!$C$22))) * (COS(RADIANS(D814) - RADIANS('Hydrologie-Méthode rationnelle'!$C$23)))) * 6371)</f>
        <v/>
      </c>
    </row>
    <row r="815" spans="5:5">
      <c r="E815" s="263" t="str">
        <f>IF(OR(C815="",D815=""),"",ACOS((SIN(RADIANS(C815)) * SIN(RADIANS('Hydrologie-Méthode rationnelle'!$C$22))) + (COS(RADIANS(C815)) * COS(RADIANS('Hydrologie-Méthode rationnelle'!$C$22))) * (COS(RADIANS(D815) - RADIANS('Hydrologie-Méthode rationnelle'!$C$23)))) * 6371)</f>
        <v/>
      </c>
    </row>
    <row r="816" spans="5:5">
      <c r="E816" s="263" t="str">
        <f>IF(OR(C816="",D816=""),"",ACOS((SIN(RADIANS(C816)) * SIN(RADIANS('Hydrologie-Méthode rationnelle'!$C$22))) + (COS(RADIANS(C816)) * COS(RADIANS('Hydrologie-Méthode rationnelle'!$C$22))) * (COS(RADIANS(D816) - RADIANS('Hydrologie-Méthode rationnelle'!$C$23)))) * 6371)</f>
        <v/>
      </c>
    </row>
    <row r="817" spans="5:5">
      <c r="E817" s="263" t="str">
        <f>IF(OR(C817="",D817=""),"",ACOS((SIN(RADIANS(C817)) * SIN(RADIANS('Hydrologie-Méthode rationnelle'!$C$22))) + (COS(RADIANS(C817)) * COS(RADIANS('Hydrologie-Méthode rationnelle'!$C$22))) * (COS(RADIANS(D817) - RADIANS('Hydrologie-Méthode rationnelle'!$C$23)))) * 6371)</f>
        <v/>
      </c>
    </row>
    <row r="818" spans="5:5">
      <c r="E818" s="263" t="str">
        <f>IF(OR(C818="",D818=""),"",ACOS((SIN(RADIANS(C818)) * SIN(RADIANS('Hydrologie-Méthode rationnelle'!$C$22))) + (COS(RADIANS(C818)) * COS(RADIANS('Hydrologie-Méthode rationnelle'!$C$22))) * (COS(RADIANS(D818) - RADIANS('Hydrologie-Méthode rationnelle'!$C$23)))) * 6371)</f>
        <v/>
      </c>
    </row>
    <row r="819" spans="5:5">
      <c r="E819" s="263" t="str">
        <f>IF(OR(C819="",D819=""),"",ACOS((SIN(RADIANS(C819)) * SIN(RADIANS('Hydrologie-Méthode rationnelle'!$C$22))) + (COS(RADIANS(C819)) * COS(RADIANS('Hydrologie-Méthode rationnelle'!$C$22))) * (COS(RADIANS(D819) - RADIANS('Hydrologie-Méthode rationnelle'!$C$23)))) * 6371)</f>
        <v/>
      </c>
    </row>
    <row r="820" spans="5:5">
      <c r="E820" s="263" t="str">
        <f>IF(OR(C820="",D820=""),"",ACOS((SIN(RADIANS(C820)) * SIN(RADIANS('Hydrologie-Méthode rationnelle'!$C$22))) + (COS(RADIANS(C820)) * COS(RADIANS('Hydrologie-Méthode rationnelle'!$C$22))) * (COS(RADIANS(D820) - RADIANS('Hydrologie-Méthode rationnelle'!$C$23)))) * 6371)</f>
        <v/>
      </c>
    </row>
    <row r="821" spans="5:5">
      <c r="E821" s="263" t="str">
        <f>IF(OR(C821="",D821=""),"",ACOS((SIN(RADIANS(C821)) * SIN(RADIANS('Hydrologie-Méthode rationnelle'!$C$22))) + (COS(RADIANS(C821)) * COS(RADIANS('Hydrologie-Méthode rationnelle'!$C$22))) * (COS(RADIANS(D821) - RADIANS('Hydrologie-Méthode rationnelle'!$C$23)))) * 6371)</f>
        <v/>
      </c>
    </row>
    <row r="822" spans="5:5">
      <c r="E822" s="263" t="str">
        <f>IF(OR(C822="",D822=""),"",ACOS((SIN(RADIANS(C822)) * SIN(RADIANS('Hydrologie-Méthode rationnelle'!$C$22))) + (COS(RADIANS(C822)) * COS(RADIANS('Hydrologie-Méthode rationnelle'!$C$22))) * (COS(RADIANS(D822) - RADIANS('Hydrologie-Méthode rationnelle'!$C$23)))) * 6371)</f>
        <v/>
      </c>
    </row>
    <row r="823" spans="5:5">
      <c r="E823" s="263" t="str">
        <f>IF(OR(C823="",D823=""),"",ACOS((SIN(RADIANS(C823)) * SIN(RADIANS('Hydrologie-Méthode rationnelle'!$C$22))) + (COS(RADIANS(C823)) * COS(RADIANS('Hydrologie-Méthode rationnelle'!$C$22))) * (COS(RADIANS(D823) - RADIANS('Hydrologie-Méthode rationnelle'!$C$23)))) * 6371)</f>
        <v/>
      </c>
    </row>
    <row r="824" spans="5:5">
      <c r="E824" s="263" t="str">
        <f>IF(OR(C824="",D824=""),"",ACOS((SIN(RADIANS(C824)) * SIN(RADIANS('Hydrologie-Méthode rationnelle'!$C$22))) + (COS(RADIANS(C824)) * COS(RADIANS('Hydrologie-Méthode rationnelle'!$C$22))) * (COS(RADIANS(D824) - RADIANS('Hydrologie-Méthode rationnelle'!$C$23)))) * 6371)</f>
        <v/>
      </c>
    </row>
    <row r="825" spans="5:5">
      <c r="E825" s="263" t="str">
        <f>IF(OR(C825="",D825=""),"",ACOS((SIN(RADIANS(C825)) * SIN(RADIANS('Hydrologie-Méthode rationnelle'!$C$22))) + (COS(RADIANS(C825)) * COS(RADIANS('Hydrologie-Méthode rationnelle'!$C$22))) * (COS(RADIANS(D825) - RADIANS('Hydrologie-Méthode rationnelle'!$C$23)))) * 6371)</f>
        <v/>
      </c>
    </row>
    <row r="826" spans="5:5">
      <c r="E826" s="263" t="str">
        <f>IF(OR(C826="",D826=""),"",ACOS((SIN(RADIANS(C826)) * SIN(RADIANS('Hydrologie-Méthode rationnelle'!$C$22))) + (COS(RADIANS(C826)) * COS(RADIANS('Hydrologie-Méthode rationnelle'!$C$22))) * (COS(RADIANS(D826) - RADIANS('Hydrologie-Méthode rationnelle'!$C$23)))) * 6371)</f>
        <v/>
      </c>
    </row>
    <row r="827" spans="5:5">
      <c r="E827" s="263" t="str">
        <f>IF(OR(C827="",D827=""),"",ACOS((SIN(RADIANS(C827)) * SIN(RADIANS('Hydrologie-Méthode rationnelle'!$C$22))) + (COS(RADIANS(C827)) * COS(RADIANS('Hydrologie-Méthode rationnelle'!$C$22))) * (COS(RADIANS(D827) - RADIANS('Hydrologie-Méthode rationnelle'!$C$23)))) * 6371)</f>
        <v/>
      </c>
    </row>
    <row r="828" spans="5:5">
      <c r="E828" s="263" t="str">
        <f>IF(OR(C828="",D828=""),"",ACOS((SIN(RADIANS(C828)) * SIN(RADIANS('Hydrologie-Méthode rationnelle'!$C$22))) + (COS(RADIANS(C828)) * COS(RADIANS('Hydrologie-Méthode rationnelle'!$C$22))) * (COS(RADIANS(D828) - RADIANS('Hydrologie-Méthode rationnelle'!$C$23)))) * 6371)</f>
        <v/>
      </c>
    </row>
    <row r="829" spans="5:5">
      <c r="E829" s="263" t="str">
        <f>IF(OR(C829="",D829=""),"",ACOS((SIN(RADIANS(C829)) * SIN(RADIANS('Hydrologie-Méthode rationnelle'!$C$22))) + (COS(RADIANS(C829)) * COS(RADIANS('Hydrologie-Méthode rationnelle'!$C$22))) * (COS(RADIANS(D829) - RADIANS('Hydrologie-Méthode rationnelle'!$C$23)))) * 6371)</f>
        <v/>
      </c>
    </row>
    <row r="830" spans="5:5">
      <c r="E830" s="263" t="str">
        <f>IF(OR(C830="",D830=""),"",ACOS((SIN(RADIANS(C830)) * SIN(RADIANS('Hydrologie-Méthode rationnelle'!$C$22))) + (COS(RADIANS(C830)) * COS(RADIANS('Hydrologie-Méthode rationnelle'!$C$22))) * (COS(RADIANS(D830) - RADIANS('Hydrologie-Méthode rationnelle'!$C$23)))) * 6371)</f>
        <v/>
      </c>
    </row>
    <row r="831" spans="5:5">
      <c r="E831" s="263" t="str">
        <f>IF(OR(C831="",D831=""),"",ACOS((SIN(RADIANS(C831)) * SIN(RADIANS('Hydrologie-Méthode rationnelle'!$C$22))) + (COS(RADIANS(C831)) * COS(RADIANS('Hydrologie-Méthode rationnelle'!$C$22))) * (COS(RADIANS(D831) - RADIANS('Hydrologie-Méthode rationnelle'!$C$23)))) * 6371)</f>
        <v/>
      </c>
    </row>
    <row r="832" spans="5:5">
      <c r="E832" s="263" t="str">
        <f>IF(OR(C832="",D832=""),"",ACOS((SIN(RADIANS(C832)) * SIN(RADIANS('Hydrologie-Méthode rationnelle'!$C$22))) + (COS(RADIANS(C832)) * COS(RADIANS('Hydrologie-Méthode rationnelle'!$C$22))) * (COS(RADIANS(D832) - RADIANS('Hydrologie-Méthode rationnelle'!$C$23)))) * 6371)</f>
        <v/>
      </c>
    </row>
    <row r="833" spans="5:5">
      <c r="E833" s="263" t="str">
        <f>IF(OR(C833="",D833=""),"",ACOS((SIN(RADIANS(C833)) * SIN(RADIANS('Hydrologie-Méthode rationnelle'!$C$22))) + (COS(RADIANS(C833)) * COS(RADIANS('Hydrologie-Méthode rationnelle'!$C$22))) * (COS(RADIANS(D833) - RADIANS('Hydrologie-Méthode rationnelle'!$C$23)))) * 6371)</f>
        <v/>
      </c>
    </row>
    <row r="834" spans="5:5">
      <c r="E834" s="263" t="str">
        <f>IF(OR(C834="",D834=""),"",ACOS((SIN(RADIANS(C834)) * SIN(RADIANS('Hydrologie-Méthode rationnelle'!$C$22))) + (COS(RADIANS(C834)) * COS(RADIANS('Hydrologie-Méthode rationnelle'!$C$22))) * (COS(RADIANS(D834) - RADIANS('Hydrologie-Méthode rationnelle'!$C$23)))) * 6371)</f>
        <v/>
      </c>
    </row>
    <row r="835" spans="5:5">
      <c r="E835" s="263" t="str">
        <f>IF(OR(C835="",D835=""),"",ACOS((SIN(RADIANS(C835)) * SIN(RADIANS('Hydrologie-Méthode rationnelle'!$C$22))) + (COS(RADIANS(C835)) * COS(RADIANS('Hydrologie-Méthode rationnelle'!$C$22))) * (COS(RADIANS(D835) - RADIANS('Hydrologie-Méthode rationnelle'!$C$23)))) * 6371)</f>
        <v/>
      </c>
    </row>
    <row r="836" spans="5:5">
      <c r="E836" s="263" t="str">
        <f>IF(OR(C836="",D836=""),"",ACOS((SIN(RADIANS(C836)) * SIN(RADIANS('Hydrologie-Méthode rationnelle'!$C$22))) + (COS(RADIANS(C836)) * COS(RADIANS('Hydrologie-Méthode rationnelle'!$C$22))) * (COS(RADIANS(D836) - RADIANS('Hydrologie-Méthode rationnelle'!$C$23)))) * 6371)</f>
        <v/>
      </c>
    </row>
    <row r="837" spans="5:5">
      <c r="E837" s="263" t="str">
        <f>IF(OR(C837="",D837=""),"",ACOS((SIN(RADIANS(C837)) * SIN(RADIANS('Hydrologie-Méthode rationnelle'!$C$22))) + (COS(RADIANS(C837)) * COS(RADIANS('Hydrologie-Méthode rationnelle'!$C$22))) * (COS(RADIANS(D837) - RADIANS('Hydrologie-Méthode rationnelle'!$C$23)))) * 6371)</f>
        <v/>
      </c>
    </row>
    <row r="838" spans="5:5">
      <c r="E838" s="263" t="str">
        <f>IF(OR(C838="",D838=""),"",ACOS((SIN(RADIANS(C838)) * SIN(RADIANS('Hydrologie-Méthode rationnelle'!$C$22))) + (COS(RADIANS(C838)) * COS(RADIANS('Hydrologie-Méthode rationnelle'!$C$22))) * (COS(RADIANS(D838) - RADIANS('Hydrologie-Méthode rationnelle'!$C$23)))) * 6371)</f>
        <v/>
      </c>
    </row>
    <row r="839" spans="5:5">
      <c r="E839" s="263" t="str">
        <f>IF(OR(C839="",D839=""),"",ACOS((SIN(RADIANS(C839)) * SIN(RADIANS('Hydrologie-Méthode rationnelle'!$C$22))) + (COS(RADIANS(C839)) * COS(RADIANS('Hydrologie-Méthode rationnelle'!$C$22))) * (COS(RADIANS(D839) - RADIANS('Hydrologie-Méthode rationnelle'!$C$23)))) * 6371)</f>
        <v/>
      </c>
    </row>
    <row r="840" spans="5:5">
      <c r="E840" s="263" t="str">
        <f>IF(OR(C840="",D840=""),"",ACOS((SIN(RADIANS(C840)) * SIN(RADIANS('Hydrologie-Méthode rationnelle'!$C$22))) + (COS(RADIANS(C840)) * COS(RADIANS('Hydrologie-Méthode rationnelle'!$C$22))) * (COS(RADIANS(D840) - RADIANS('Hydrologie-Méthode rationnelle'!$C$23)))) * 6371)</f>
        <v/>
      </c>
    </row>
    <row r="841" spans="5:5">
      <c r="E841" s="263" t="str">
        <f>IF(OR(C841="",D841=""),"",ACOS((SIN(RADIANS(C841)) * SIN(RADIANS('Hydrologie-Méthode rationnelle'!$C$22))) + (COS(RADIANS(C841)) * COS(RADIANS('Hydrologie-Méthode rationnelle'!$C$22))) * (COS(RADIANS(D841) - RADIANS('Hydrologie-Méthode rationnelle'!$C$23)))) * 6371)</f>
        <v/>
      </c>
    </row>
    <row r="842" spans="5:5">
      <c r="E842" s="263" t="str">
        <f>IF(OR(C842="",D842=""),"",ACOS((SIN(RADIANS(C842)) * SIN(RADIANS('Hydrologie-Méthode rationnelle'!$C$22))) + (COS(RADIANS(C842)) * COS(RADIANS('Hydrologie-Méthode rationnelle'!$C$22))) * (COS(RADIANS(D842) - RADIANS('Hydrologie-Méthode rationnelle'!$C$23)))) * 6371)</f>
        <v/>
      </c>
    </row>
    <row r="843" spans="5:5">
      <c r="E843" s="263" t="str">
        <f>IF(OR(C843="",D843=""),"",ACOS((SIN(RADIANS(C843)) * SIN(RADIANS('Hydrologie-Méthode rationnelle'!$C$22))) + (COS(RADIANS(C843)) * COS(RADIANS('Hydrologie-Méthode rationnelle'!$C$22))) * (COS(RADIANS(D843) - RADIANS('Hydrologie-Méthode rationnelle'!$C$23)))) * 6371)</f>
        <v/>
      </c>
    </row>
    <row r="844" spans="5:5">
      <c r="E844" s="263" t="str">
        <f>IF(OR(C844="",D844=""),"",ACOS((SIN(RADIANS(C844)) * SIN(RADIANS('Hydrologie-Méthode rationnelle'!$C$22))) + (COS(RADIANS(C844)) * COS(RADIANS('Hydrologie-Méthode rationnelle'!$C$22))) * (COS(RADIANS(D844) - RADIANS('Hydrologie-Méthode rationnelle'!$C$23)))) * 6371)</f>
        <v/>
      </c>
    </row>
    <row r="845" spans="5:5">
      <c r="E845" s="263" t="str">
        <f>IF(OR(C845="",D845=""),"",ACOS((SIN(RADIANS(C845)) * SIN(RADIANS('Hydrologie-Méthode rationnelle'!$C$22))) + (COS(RADIANS(C845)) * COS(RADIANS('Hydrologie-Méthode rationnelle'!$C$22))) * (COS(RADIANS(D845) - RADIANS('Hydrologie-Méthode rationnelle'!$C$23)))) * 6371)</f>
        <v/>
      </c>
    </row>
    <row r="846" spans="5:5">
      <c r="E846" s="263" t="str">
        <f>IF(OR(C846="",D846=""),"",ACOS((SIN(RADIANS(C846)) * SIN(RADIANS('Hydrologie-Méthode rationnelle'!$C$22))) + (COS(RADIANS(C846)) * COS(RADIANS('Hydrologie-Méthode rationnelle'!$C$22))) * (COS(RADIANS(D846) - RADIANS('Hydrologie-Méthode rationnelle'!$C$23)))) * 6371)</f>
        <v/>
      </c>
    </row>
    <row r="847" spans="5:5">
      <c r="E847" s="263" t="str">
        <f>IF(OR(C847="",D847=""),"",ACOS((SIN(RADIANS(C847)) * SIN(RADIANS('Hydrologie-Méthode rationnelle'!$C$22))) + (COS(RADIANS(C847)) * COS(RADIANS('Hydrologie-Méthode rationnelle'!$C$22))) * (COS(RADIANS(D847) - RADIANS('Hydrologie-Méthode rationnelle'!$C$23)))) * 6371)</f>
        <v/>
      </c>
    </row>
    <row r="848" spans="5:5">
      <c r="E848" s="263" t="str">
        <f>IF(OR(C848="",D848=""),"",ACOS((SIN(RADIANS(C848)) * SIN(RADIANS('Hydrologie-Méthode rationnelle'!$C$22))) + (COS(RADIANS(C848)) * COS(RADIANS('Hydrologie-Méthode rationnelle'!$C$22))) * (COS(RADIANS(D848) - RADIANS('Hydrologie-Méthode rationnelle'!$C$23)))) * 6371)</f>
        <v/>
      </c>
    </row>
    <row r="849" spans="5:5">
      <c r="E849" s="263" t="str">
        <f>IF(OR(C849="",D849=""),"",ACOS((SIN(RADIANS(C849)) * SIN(RADIANS('Hydrologie-Méthode rationnelle'!$C$22))) + (COS(RADIANS(C849)) * COS(RADIANS('Hydrologie-Méthode rationnelle'!$C$22))) * (COS(RADIANS(D849) - RADIANS('Hydrologie-Méthode rationnelle'!$C$23)))) * 6371)</f>
        <v/>
      </c>
    </row>
    <row r="850" spans="5:5">
      <c r="E850" s="263" t="str">
        <f>IF(OR(C850="",D850=""),"",ACOS((SIN(RADIANS(C850)) * SIN(RADIANS('Hydrologie-Méthode rationnelle'!$C$22))) + (COS(RADIANS(C850)) * COS(RADIANS('Hydrologie-Méthode rationnelle'!$C$22))) * (COS(RADIANS(D850) - RADIANS('Hydrologie-Méthode rationnelle'!$C$23)))) * 6371)</f>
        <v/>
      </c>
    </row>
    <row r="851" spans="5:5">
      <c r="E851" s="263" t="str">
        <f>IF(OR(C851="",D851=""),"",ACOS((SIN(RADIANS(C851)) * SIN(RADIANS('Hydrologie-Méthode rationnelle'!$C$22))) + (COS(RADIANS(C851)) * COS(RADIANS('Hydrologie-Méthode rationnelle'!$C$22))) * (COS(RADIANS(D851) - RADIANS('Hydrologie-Méthode rationnelle'!$C$23)))) * 6371)</f>
        <v/>
      </c>
    </row>
    <row r="852" spans="5:5">
      <c r="E852" s="263" t="str">
        <f>IF(OR(C852="",D852=""),"",ACOS((SIN(RADIANS(C852)) * SIN(RADIANS('Hydrologie-Méthode rationnelle'!$C$22))) + (COS(RADIANS(C852)) * COS(RADIANS('Hydrologie-Méthode rationnelle'!$C$22))) * (COS(RADIANS(D852) - RADIANS('Hydrologie-Méthode rationnelle'!$C$23)))) * 6371)</f>
        <v/>
      </c>
    </row>
    <row r="853" spans="5:5">
      <c r="E853" s="263" t="str">
        <f>IF(OR(C853="",D853=""),"",ACOS((SIN(RADIANS(C853)) * SIN(RADIANS('Hydrologie-Méthode rationnelle'!$C$22))) + (COS(RADIANS(C853)) * COS(RADIANS('Hydrologie-Méthode rationnelle'!$C$22))) * (COS(RADIANS(D853) - RADIANS('Hydrologie-Méthode rationnelle'!$C$23)))) * 6371)</f>
        <v/>
      </c>
    </row>
    <row r="854" spans="5:5">
      <c r="E854" s="263" t="str">
        <f>IF(OR(C854="",D854=""),"",ACOS((SIN(RADIANS(C854)) * SIN(RADIANS('Hydrologie-Méthode rationnelle'!$C$22))) + (COS(RADIANS(C854)) * COS(RADIANS('Hydrologie-Méthode rationnelle'!$C$22))) * (COS(RADIANS(D854) - RADIANS('Hydrologie-Méthode rationnelle'!$C$23)))) * 6371)</f>
        <v/>
      </c>
    </row>
    <row r="855" spans="5:5">
      <c r="E855" s="263" t="str">
        <f>IF(OR(C855="",D855=""),"",ACOS((SIN(RADIANS(C855)) * SIN(RADIANS('Hydrologie-Méthode rationnelle'!$C$22))) + (COS(RADIANS(C855)) * COS(RADIANS('Hydrologie-Méthode rationnelle'!$C$22))) * (COS(RADIANS(D855) - RADIANS('Hydrologie-Méthode rationnelle'!$C$23)))) * 6371)</f>
        <v/>
      </c>
    </row>
    <row r="856" spans="5:5">
      <c r="E856" s="263" t="str">
        <f>IF(OR(C856="",D856=""),"",ACOS((SIN(RADIANS(C856)) * SIN(RADIANS('Hydrologie-Méthode rationnelle'!$C$22))) + (COS(RADIANS(C856)) * COS(RADIANS('Hydrologie-Méthode rationnelle'!$C$22))) * (COS(RADIANS(D856) - RADIANS('Hydrologie-Méthode rationnelle'!$C$23)))) * 6371)</f>
        <v/>
      </c>
    </row>
    <row r="857" spans="5:5">
      <c r="E857" s="263" t="str">
        <f>IF(OR(C857="",D857=""),"",ACOS((SIN(RADIANS(C857)) * SIN(RADIANS('Hydrologie-Méthode rationnelle'!$C$22))) + (COS(RADIANS(C857)) * COS(RADIANS('Hydrologie-Méthode rationnelle'!$C$22))) * (COS(RADIANS(D857) - RADIANS('Hydrologie-Méthode rationnelle'!$C$23)))) * 6371)</f>
        <v/>
      </c>
    </row>
    <row r="858" spans="5:5">
      <c r="E858" s="263" t="str">
        <f>IF(OR(C858="",D858=""),"",ACOS((SIN(RADIANS(C858)) * SIN(RADIANS('Hydrologie-Méthode rationnelle'!$C$22))) + (COS(RADIANS(C858)) * COS(RADIANS('Hydrologie-Méthode rationnelle'!$C$22))) * (COS(RADIANS(D858) - RADIANS('Hydrologie-Méthode rationnelle'!$C$23)))) * 6371)</f>
        <v/>
      </c>
    </row>
    <row r="859" spans="5:5">
      <c r="E859" s="263" t="str">
        <f>IF(OR(C859="",D859=""),"",ACOS((SIN(RADIANS(C859)) * SIN(RADIANS('Hydrologie-Méthode rationnelle'!$C$22))) + (COS(RADIANS(C859)) * COS(RADIANS('Hydrologie-Méthode rationnelle'!$C$22))) * (COS(RADIANS(D859) - RADIANS('Hydrologie-Méthode rationnelle'!$C$23)))) * 6371)</f>
        <v/>
      </c>
    </row>
    <row r="860" spans="5:5">
      <c r="E860" s="263" t="str">
        <f>IF(OR(C860="",D860=""),"",ACOS((SIN(RADIANS(C860)) * SIN(RADIANS('Hydrologie-Méthode rationnelle'!$C$22))) + (COS(RADIANS(C860)) * COS(RADIANS('Hydrologie-Méthode rationnelle'!$C$22))) * (COS(RADIANS(D860) - RADIANS('Hydrologie-Méthode rationnelle'!$C$23)))) * 6371)</f>
        <v/>
      </c>
    </row>
    <row r="861" spans="5:5">
      <c r="E861" s="263" t="str">
        <f>IF(OR(C861="",D861=""),"",ACOS((SIN(RADIANS(C861)) * SIN(RADIANS('Hydrologie-Méthode rationnelle'!$C$22))) + (COS(RADIANS(C861)) * COS(RADIANS('Hydrologie-Méthode rationnelle'!$C$22))) * (COS(RADIANS(D861) - RADIANS('Hydrologie-Méthode rationnelle'!$C$23)))) * 6371)</f>
        <v/>
      </c>
    </row>
    <row r="862" spans="5:5">
      <c r="E862" s="263" t="str">
        <f>IF(OR(C862="",D862=""),"",ACOS((SIN(RADIANS(C862)) * SIN(RADIANS('Hydrologie-Méthode rationnelle'!$C$22))) + (COS(RADIANS(C862)) * COS(RADIANS('Hydrologie-Méthode rationnelle'!$C$22))) * (COS(RADIANS(D862) - RADIANS('Hydrologie-Méthode rationnelle'!$C$23)))) * 6371)</f>
        <v/>
      </c>
    </row>
    <row r="863" spans="5:5">
      <c r="E863" s="263" t="str">
        <f>IF(OR(C863="",D863=""),"",ACOS((SIN(RADIANS(C863)) * SIN(RADIANS('Hydrologie-Méthode rationnelle'!$C$22))) + (COS(RADIANS(C863)) * COS(RADIANS('Hydrologie-Méthode rationnelle'!$C$22))) * (COS(RADIANS(D863) - RADIANS('Hydrologie-Méthode rationnelle'!$C$23)))) * 6371)</f>
        <v/>
      </c>
    </row>
    <row r="864" spans="5:5">
      <c r="E864" s="263" t="str">
        <f>IF(OR(C864="",D864=""),"",ACOS((SIN(RADIANS(C864)) * SIN(RADIANS('Hydrologie-Méthode rationnelle'!$C$22))) + (COS(RADIANS(C864)) * COS(RADIANS('Hydrologie-Méthode rationnelle'!$C$22))) * (COS(RADIANS(D864) - RADIANS('Hydrologie-Méthode rationnelle'!$C$23)))) * 6371)</f>
        <v/>
      </c>
    </row>
    <row r="865" spans="5:5">
      <c r="E865" s="263" t="str">
        <f>IF(OR(C865="",D865=""),"",ACOS((SIN(RADIANS(C865)) * SIN(RADIANS('Hydrologie-Méthode rationnelle'!$C$22))) + (COS(RADIANS(C865)) * COS(RADIANS('Hydrologie-Méthode rationnelle'!$C$22))) * (COS(RADIANS(D865) - RADIANS('Hydrologie-Méthode rationnelle'!$C$23)))) * 6371)</f>
        <v/>
      </c>
    </row>
    <row r="866" spans="5:5">
      <c r="E866" s="263" t="str">
        <f>IF(OR(C866="",D866=""),"",ACOS((SIN(RADIANS(C866)) * SIN(RADIANS('Hydrologie-Méthode rationnelle'!$C$22))) + (COS(RADIANS(C866)) * COS(RADIANS('Hydrologie-Méthode rationnelle'!$C$22))) * (COS(RADIANS(D866) - RADIANS('Hydrologie-Méthode rationnelle'!$C$23)))) * 6371)</f>
        <v/>
      </c>
    </row>
    <row r="867" spans="5:5">
      <c r="E867" s="263" t="str">
        <f>IF(OR(C867="",D867=""),"",ACOS((SIN(RADIANS(C867)) * SIN(RADIANS('Hydrologie-Méthode rationnelle'!$C$22))) + (COS(RADIANS(C867)) * COS(RADIANS('Hydrologie-Méthode rationnelle'!$C$22))) * (COS(RADIANS(D867) - RADIANS('Hydrologie-Méthode rationnelle'!$C$23)))) * 6371)</f>
        <v/>
      </c>
    </row>
    <row r="868" spans="5:5">
      <c r="E868" s="263" t="str">
        <f>IF(OR(C868="",D868=""),"",ACOS((SIN(RADIANS(C868)) * SIN(RADIANS('Hydrologie-Méthode rationnelle'!$C$22))) + (COS(RADIANS(C868)) * COS(RADIANS('Hydrologie-Méthode rationnelle'!$C$22))) * (COS(RADIANS(D868) - RADIANS('Hydrologie-Méthode rationnelle'!$C$23)))) * 6371)</f>
        <v/>
      </c>
    </row>
    <row r="869" spans="5:5">
      <c r="E869" s="263" t="str">
        <f>IF(OR(C869="",D869=""),"",ACOS((SIN(RADIANS(C869)) * SIN(RADIANS('Hydrologie-Méthode rationnelle'!$C$22))) + (COS(RADIANS(C869)) * COS(RADIANS('Hydrologie-Méthode rationnelle'!$C$22))) * (COS(RADIANS(D869) - RADIANS('Hydrologie-Méthode rationnelle'!$C$23)))) * 6371)</f>
        <v/>
      </c>
    </row>
    <row r="870" spans="5:5">
      <c r="E870" s="263" t="str">
        <f>IF(OR(C870="",D870=""),"",ACOS((SIN(RADIANS(C870)) * SIN(RADIANS('Hydrologie-Méthode rationnelle'!$C$22))) + (COS(RADIANS(C870)) * COS(RADIANS('Hydrologie-Méthode rationnelle'!$C$22))) * (COS(RADIANS(D870) - RADIANS('Hydrologie-Méthode rationnelle'!$C$23)))) * 6371)</f>
        <v/>
      </c>
    </row>
    <row r="871" spans="5:5">
      <c r="E871" s="263" t="str">
        <f>IF(OR(C871="",D871=""),"",ACOS((SIN(RADIANS(C871)) * SIN(RADIANS('Hydrologie-Méthode rationnelle'!$C$22))) + (COS(RADIANS(C871)) * COS(RADIANS('Hydrologie-Méthode rationnelle'!$C$22))) * (COS(RADIANS(D871) - RADIANS('Hydrologie-Méthode rationnelle'!$C$23)))) * 6371)</f>
        <v/>
      </c>
    </row>
    <row r="872" spans="5:5">
      <c r="E872" s="263" t="str">
        <f>IF(OR(C872="",D872=""),"",ACOS((SIN(RADIANS(C872)) * SIN(RADIANS('Hydrologie-Méthode rationnelle'!$C$22))) + (COS(RADIANS(C872)) * COS(RADIANS('Hydrologie-Méthode rationnelle'!$C$22))) * (COS(RADIANS(D872) - RADIANS('Hydrologie-Méthode rationnelle'!$C$23)))) * 6371)</f>
        <v/>
      </c>
    </row>
    <row r="873" spans="5:5">
      <c r="E873" s="263" t="str">
        <f>IF(OR(C873="",D873=""),"",ACOS((SIN(RADIANS(C873)) * SIN(RADIANS('Hydrologie-Méthode rationnelle'!$C$22))) + (COS(RADIANS(C873)) * COS(RADIANS('Hydrologie-Méthode rationnelle'!$C$22))) * (COS(RADIANS(D873) - RADIANS('Hydrologie-Méthode rationnelle'!$C$23)))) * 6371)</f>
        <v/>
      </c>
    </row>
    <row r="874" spans="5:5">
      <c r="E874" s="263" t="str">
        <f>IF(OR(C874="",D874=""),"",ACOS((SIN(RADIANS(C874)) * SIN(RADIANS('Hydrologie-Méthode rationnelle'!$C$22))) + (COS(RADIANS(C874)) * COS(RADIANS('Hydrologie-Méthode rationnelle'!$C$22))) * (COS(RADIANS(D874) - RADIANS('Hydrologie-Méthode rationnelle'!$C$23)))) * 6371)</f>
        <v/>
      </c>
    </row>
    <row r="875" spans="5:5">
      <c r="E875" s="263" t="str">
        <f>IF(OR(C875="",D875=""),"",ACOS((SIN(RADIANS(C875)) * SIN(RADIANS('Hydrologie-Méthode rationnelle'!$C$22))) + (COS(RADIANS(C875)) * COS(RADIANS('Hydrologie-Méthode rationnelle'!$C$22))) * (COS(RADIANS(D875) - RADIANS('Hydrologie-Méthode rationnelle'!$C$23)))) * 6371)</f>
        <v/>
      </c>
    </row>
    <row r="876" spans="5:5">
      <c r="E876" s="263" t="str">
        <f>IF(OR(C876="",D876=""),"",ACOS((SIN(RADIANS(C876)) * SIN(RADIANS('Hydrologie-Méthode rationnelle'!$C$22))) + (COS(RADIANS(C876)) * COS(RADIANS('Hydrologie-Méthode rationnelle'!$C$22))) * (COS(RADIANS(D876) - RADIANS('Hydrologie-Méthode rationnelle'!$C$23)))) * 6371)</f>
        <v/>
      </c>
    </row>
    <row r="877" spans="5:5">
      <c r="E877" s="263" t="str">
        <f>IF(OR(C877="",D877=""),"",ACOS((SIN(RADIANS(C877)) * SIN(RADIANS('Hydrologie-Méthode rationnelle'!$C$22))) + (COS(RADIANS(C877)) * COS(RADIANS('Hydrologie-Méthode rationnelle'!$C$22))) * (COS(RADIANS(D877) - RADIANS('Hydrologie-Méthode rationnelle'!$C$23)))) * 6371)</f>
        <v/>
      </c>
    </row>
    <row r="878" spans="5:5">
      <c r="E878" s="263" t="str">
        <f>IF(OR(C878="",D878=""),"",ACOS((SIN(RADIANS(C878)) * SIN(RADIANS('Hydrologie-Méthode rationnelle'!$C$22))) + (COS(RADIANS(C878)) * COS(RADIANS('Hydrologie-Méthode rationnelle'!$C$22))) * (COS(RADIANS(D878) - RADIANS('Hydrologie-Méthode rationnelle'!$C$23)))) * 6371)</f>
        <v/>
      </c>
    </row>
    <row r="879" spans="5:5">
      <c r="E879" s="263" t="str">
        <f>IF(OR(C879="",D879=""),"",ACOS((SIN(RADIANS(C879)) * SIN(RADIANS('Hydrologie-Méthode rationnelle'!$C$22))) + (COS(RADIANS(C879)) * COS(RADIANS('Hydrologie-Méthode rationnelle'!$C$22))) * (COS(RADIANS(D879) - RADIANS('Hydrologie-Méthode rationnelle'!$C$23)))) * 6371)</f>
        <v/>
      </c>
    </row>
    <row r="880" spans="5:5">
      <c r="E880" s="263" t="str">
        <f>IF(OR(C880="",D880=""),"",ACOS((SIN(RADIANS(C880)) * SIN(RADIANS('Hydrologie-Méthode rationnelle'!$C$22))) + (COS(RADIANS(C880)) * COS(RADIANS('Hydrologie-Méthode rationnelle'!$C$22))) * (COS(RADIANS(D880) - RADIANS('Hydrologie-Méthode rationnelle'!$C$23)))) * 6371)</f>
        <v/>
      </c>
    </row>
    <row r="881" spans="5:5">
      <c r="E881" s="263" t="str">
        <f>IF(OR(C881="",D881=""),"",ACOS((SIN(RADIANS(C881)) * SIN(RADIANS('Hydrologie-Méthode rationnelle'!$C$22))) + (COS(RADIANS(C881)) * COS(RADIANS('Hydrologie-Méthode rationnelle'!$C$22))) * (COS(RADIANS(D881) - RADIANS('Hydrologie-Méthode rationnelle'!$C$23)))) * 6371)</f>
        <v/>
      </c>
    </row>
    <row r="882" spans="5:5">
      <c r="E882" s="263" t="str">
        <f>IF(OR(C882="",D882=""),"",ACOS((SIN(RADIANS(C882)) * SIN(RADIANS('Hydrologie-Méthode rationnelle'!$C$22))) + (COS(RADIANS(C882)) * COS(RADIANS('Hydrologie-Méthode rationnelle'!$C$22))) * (COS(RADIANS(D882) - RADIANS('Hydrologie-Méthode rationnelle'!$C$23)))) * 6371)</f>
        <v/>
      </c>
    </row>
    <row r="883" spans="5:5">
      <c r="E883" s="263" t="str">
        <f>IF(OR(C883="",D883=""),"",ACOS((SIN(RADIANS(C883)) * SIN(RADIANS('Hydrologie-Méthode rationnelle'!$C$22))) + (COS(RADIANS(C883)) * COS(RADIANS('Hydrologie-Méthode rationnelle'!$C$22))) * (COS(RADIANS(D883) - RADIANS('Hydrologie-Méthode rationnelle'!$C$23)))) * 6371)</f>
        <v/>
      </c>
    </row>
    <row r="884" spans="5:5">
      <c r="E884" s="263" t="str">
        <f>IF(OR(C884="",D884=""),"",ACOS((SIN(RADIANS(C884)) * SIN(RADIANS('Hydrologie-Méthode rationnelle'!$C$22))) + (COS(RADIANS(C884)) * COS(RADIANS('Hydrologie-Méthode rationnelle'!$C$22))) * (COS(RADIANS(D884) - RADIANS('Hydrologie-Méthode rationnelle'!$C$23)))) * 6371)</f>
        <v/>
      </c>
    </row>
    <row r="885" spans="5:5">
      <c r="E885" s="263" t="str">
        <f>IF(OR(C885="",D885=""),"",ACOS((SIN(RADIANS(C885)) * SIN(RADIANS('Hydrologie-Méthode rationnelle'!$C$22))) + (COS(RADIANS(C885)) * COS(RADIANS('Hydrologie-Méthode rationnelle'!$C$22))) * (COS(RADIANS(D885) - RADIANS('Hydrologie-Méthode rationnelle'!$C$23)))) * 6371)</f>
        <v/>
      </c>
    </row>
    <row r="886" spans="5:5">
      <c r="E886" s="263" t="str">
        <f>IF(OR(C886="",D886=""),"",ACOS((SIN(RADIANS(C886)) * SIN(RADIANS('Hydrologie-Méthode rationnelle'!$C$22))) + (COS(RADIANS(C886)) * COS(RADIANS('Hydrologie-Méthode rationnelle'!$C$22))) * (COS(RADIANS(D886) - RADIANS('Hydrologie-Méthode rationnelle'!$C$23)))) * 6371)</f>
        <v/>
      </c>
    </row>
    <row r="887" spans="5:5">
      <c r="E887" s="263" t="str">
        <f>IF(OR(C887="",D887=""),"",ACOS((SIN(RADIANS(C887)) * SIN(RADIANS('Hydrologie-Méthode rationnelle'!$C$22))) + (COS(RADIANS(C887)) * COS(RADIANS('Hydrologie-Méthode rationnelle'!$C$22))) * (COS(RADIANS(D887) - RADIANS('Hydrologie-Méthode rationnelle'!$C$23)))) * 6371)</f>
        <v/>
      </c>
    </row>
    <row r="888" spans="5:5">
      <c r="E888" s="263" t="str">
        <f>IF(OR(C888="",D888=""),"",ACOS((SIN(RADIANS(C888)) * SIN(RADIANS('Hydrologie-Méthode rationnelle'!$C$22))) + (COS(RADIANS(C888)) * COS(RADIANS('Hydrologie-Méthode rationnelle'!$C$22))) * (COS(RADIANS(D888) - RADIANS('Hydrologie-Méthode rationnelle'!$C$23)))) * 6371)</f>
        <v/>
      </c>
    </row>
    <row r="889" spans="5:5">
      <c r="E889" s="263" t="str">
        <f>IF(OR(C889="",D889=""),"",ACOS((SIN(RADIANS(C889)) * SIN(RADIANS('Hydrologie-Méthode rationnelle'!$C$22))) + (COS(RADIANS(C889)) * COS(RADIANS('Hydrologie-Méthode rationnelle'!$C$22))) * (COS(RADIANS(D889) - RADIANS('Hydrologie-Méthode rationnelle'!$C$23)))) * 6371)</f>
        <v/>
      </c>
    </row>
    <row r="890" spans="5:5">
      <c r="E890" s="263" t="str">
        <f>IF(OR(C890="",D890=""),"",ACOS((SIN(RADIANS(C890)) * SIN(RADIANS('Hydrologie-Méthode rationnelle'!$C$22))) + (COS(RADIANS(C890)) * COS(RADIANS('Hydrologie-Méthode rationnelle'!$C$22))) * (COS(RADIANS(D890) - RADIANS('Hydrologie-Méthode rationnelle'!$C$23)))) * 6371)</f>
        <v/>
      </c>
    </row>
    <row r="891" spans="5:5">
      <c r="E891" s="263" t="str">
        <f>IF(OR(C891="",D891=""),"",ACOS((SIN(RADIANS(C891)) * SIN(RADIANS('Hydrologie-Méthode rationnelle'!$C$22))) + (COS(RADIANS(C891)) * COS(RADIANS('Hydrologie-Méthode rationnelle'!$C$22))) * (COS(RADIANS(D891) - RADIANS('Hydrologie-Méthode rationnelle'!$C$23)))) * 6371)</f>
        <v/>
      </c>
    </row>
    <row r="892" spans="5:5">
      <c r="E892" s="263" t="str">
        <f>IF(OR(C892="",D892=""),"",ACOS((SIN(RADIANS(C892)) * SIN(RADIANS('Hydrologie-Méthode rationnelle'!$C$22))) + (COS(RADIANS(C892)) * COS(RADIANS('Hydrologie-Méthode rationnelle'!$C$22))) * (COS(RADIANS(D892) - RADIANS('Hydrologie-Méthode rationnelle'!$C$23)))) * 6371)</f>
        <v/>
      </c>
    </row>
    <row r="893" spans="5:5">
      <c r="E893" s="263" t="str">
        <f>IF(OR(C893="",D893=""),"",ACOS((SIN(RADIANS(C893)) * SIN(RADIANS('Hydrologie-Méthode rationnelle'!$C$22))) + (COS(RADIANS(C893)) * COS(RADIANS('Hydrologie-Méthode rationnelle'!$C$22))) * (COS(RADIANS(D893) - RADIANS('Hydrologie-Méthode rationnelle'!$C$23)))) * 6371)</f>
        <v/>
      </c>
    </row>
    <row r="894" spans="5:5">
      <c r="E894" s="263" t="str">
        <f>IF(OR(C894="",D894=""),"",ACOS((SIN(RADIANS(C894)) * SIN(RADIANS('Hydrologie-Méthode rationnelle'!$C$22))) + (COS(RADIANS(C894)) * COS(RADIANS('Hydrologie-Méthode rationnelle'!$C$22))) * (COS(RADIANS(D894) - RADIANS('Hydrologie-Méthode rationnelle'!$C$23)))) * 6371)</f>
        <v/>
      </c>
    </row>
    <row r="895" spans="5:5">
      <c r="E895" s="263" t="str">
        <f>IF(OR(C895="",D895=""),"",ACOS((SIN(RADIANS(C895)) * SIN(RADIANS('Hydrologie-Méthode rationnelle'!$C$22))) + (COS(RADIANS(C895)) * COS(RADIANS('Hydrologie-Méthode rationnelle'!$C$22))) * (COS(RADIANS(D895) - RADIANS('Hydrologie-Méthode rationnelle'!$C$23)))) * 6371)</f>
        <v/>
      </c>
    </row>
    <row r="896" spans="5:5">
      <c r="E896" s="263" t="str">
        <f>IF(OR(C896="",D896=""),"",ACOS((SIN(RADIANS(C896)) * SIN(RADIANS('Hydrologie-Méthode rationnelle'!$C$22))) + (COS(RADIANS(C896)) * COS(RADIANS('Hydrologie-Méthode rationnelle'!$C$22))) * (COS(RADIANS(D896) - RADIANS('Hydrologie-Méthode rationnelle'!$C$23)))) * 6371)</f>
        <v/>
      </c>
    </row>
    <row r="897" spans="5:5">
      <c r="E897" s="263" t="str">
        <f>IF(OR(C897="",D897=""),"",ACOS((SIN(RADIANS(C897)) * SIN(RADIANS('Hydrologie-Méthode rationnelle'!$C$22))) + (COS(RADIANS(C897)) * COS(RADIANS('Hydrologie-Méthode rationnelle'!$C$22))) * (COS(RADIANS(D897) - RADIANS('Hydrologie-Méthode rationnelle'!$C$23)))) * 6371)</f>
        <v/>
      </c>
    </row>
    <row r="898" spans="5:5">
      <c r="E898" s="263" t="str">
        <f>IF(OR(C898="",D898=""),"",ACOS((SIN(RADIANS(C898)) * SIN(RADIANS('Hydrologie-Méthode rationnelle'!$C$22))) + (COS(RADIANS(C898)) * COS(RADIANS('Hydrologie-Méthode rationnelle'!$C$22))) * (COS(RADIANS(D898) - RADIANS('Hydrologie-Méthode rationnelle'!$C$23)))) * 6371)</f>
        <v/>
      </c>
    </row>
    <row r="899" spans="5:5">
      <c r="E899" s="263" t="str">
        <f>IF(OR(C899="",D899=""),"",ACOS((SIN(RADIANS(C899)) * SIN(RADIANS('Hydrologie-Méthode rationnelle'!$C$22))) + (COS(RADIANS(C899)) * COS(RADIANS('Hydrologie-Méthode rationnelle'!$C$22))) * (COS(RADIANS(D899) - RADIANS('Hydrologie-Méthode rationnelle'!$C$23)))) * 6371)</f>
        <v/>
      </c>
    </row>
    <row r="900" spans="5:5">
      <c r="E900" s="263" t="str">
        <f>IF(OR(C900="",D900=""),"",ACOS((SIN(RADIANS(C900)) * SIN(RADIANS('Hydrologie-Méthode rationnelle'!$C$22))) + (COS(RADIANS(C900)) * COS(RADIANS('Hydrologie-Méthode rationnelle'!$C$22))) * (COS(RADIANS(D900) - RADIANS('Hydrologie-Méthode rationnelle'!$C$23)))) * 6371)</f>
        <v/>
      </c>
    </row>
    <row r="901" spans="5:5">
      <c r="E901" s="263" t="str">
        <f>IF(OR(C901="",D901=""),"",ACOS((SIN(RADIANS(C901)) * SIN(RADIANS('Hydrologie-Méthode rationnelle'!$C$22))) + (COS(RADIANS(C901)) * COS(RADIANS('Hydrologie-Méthode rationnelle'!$C$22))) * (COS(RADIANS(D901) - RADIANS('Hydrologie-Méthode rationnelle'!$C$23)))) * 6371)</f>
        <v/>
      </c>
    </row>
    <row r="902" spans="5:5">
      <c r="E902" s="263" t="str">
        <f>IF(OR(C902="",D902=""),"",ACOS((SIN(RADIANS(C902)) * SIN(RADIANS('Hydrologie-Méthode rationnelle'!$C$22))) + (COS(RADIANS(C902)) * COS(RADIANS('Hydrologie-Méthode rationnelle'!$C$22))) * (COS(RADIANS(D902) - RADIANS('Hydrologie-Méthode rationnelle'!$C$23)))) * 6371)</f>
        <v/>
      </c>
    </row>
    <row r="903" spans="5:5">
      <c r="E903" s="263" t="str">
        <f>IF(OR(C903="",D903=""),"",ACOS((SIN(RADIANS(C903)) * SIN(RADIANS('Hydrologie-Méthode rationnelle'!$C$22))) + (COS(RADIANS(C903)) * COS(RADIANS('Hydrologie-Méthode rationnelle'!$C$22))) * (COS(RADIANS(D903) - RADIANS('Hydrologie-Méthode rationnelle'!$C$23)))) * 6371)</f>
        <v/>
      </c>
    </row>
    <row r="904" spans="5:5">
      <c r="E904" s="263" t="str">
        <f>IF(OR(C904="",D904=""),"",ACOS((SIN(RADIANS(C904)) * SIN(RADIANS('Hydrologie-Méthode rationnelle'!$C$22))) + (COS(RADIANS(C904)) * COS(RADIANS('Hydrologie-Méthode rationnelle'!$C$22))) * (COS(RADIANS(D904) - RADIANS('Hydrologie-Méthode rationnelle'!$C$23)))) * 6371)</f>
        <v/>
      </c>
    </row>
    <row r="905" spans="5:5">
      <c r="E905" s="263" t="str">
        <f>IF(OR(C905="",D905=""),"",ACOS((SIN(RADIANS(C905)) * SIN(RADIANS('Hydrologie-Méthode rationnelle'!$C$22))) + (COS(RADIANS(C905)) * COS(RADIANS('Hydrologie-Méthode rationnelle'!$C$22))) * (COS(RADIANS(D905) - RADIANS('Hydrologie-Méthode rationnelle'!$C$23)))) * 6371)</f>
        <v/>
      </c>
    </row>
    <row r="906" spans="5:5">
      <c r="E906" s="263" t="str">
        <f>IF(OR(C906="",D906=""),"",ACOS((SIN(RADIANS(C906)) * SIN(RADIANS('Hydrologie-Méthode rationnelle'!$C$22))) + (COS(RADIANS(C906)) * COS(RADIANS('Hydrologie-Méthode rationnelle'!$C$22))) * (COS(RADIANS(D906) - RADIANS('Hydrologie-Méthode rationnelle'!$C$23)))) * 6371)</f>
        <v/>
      </c>
    </row>
    <row r="907" spans="5:5">
      <c r="E907" s="263" t="str">
        <f>IF(OR(C907="",D907=""),"",ACOS((SIN(RADIANS(C907)) * SIN(RADIANS('Hydrologie-Méthode rationnelle'!$C$22))) + (COS(RADIANS(C907)) * COS(RADIANS('Hydrologie-Méthode rationnelle'!$C$22))) * (COS(RADIANS(D907) - RADIANS('Hydrologie-Méthode rationnelle'!$C$23)))) * 6371)</f>
        <v/>
      </c>
    </row>
    <row r="908" spans="5:5">
      <c r="E908" s="263" t="str">
        <f>IF(OR(C908="",D908=""),"",ACOS((SIN(RADIANS(C908)) * SIN(RADIANS('Hydrologie-Méthode rationnelle'!$C$22))) + (COS(RADIANS(C908)) * COS(RADIANS('Hydrologie-Méthode rationnelle'!$C$22))) * (COS(RADIANS(D908) - RADIANS('Hydrologie-Méthode rationnelle'!$C$23)))) * 6371)</f>
        <v/>
      </c>
    </row>
    <row r="909" spans="5:5">
      <c r="E909" s="263" t="str">
        <f>IF(OR(C909="",D909=""),"",ACOS((SIN(RADIANS(C909)) * SIN(RADIANS('Hydrologie-Méthode rationnelle'!$C$22))) + (COS(RADIANS(C909)) * COS(RADIANS('Hydrologie-Méthode rationnelle'!$C$22))) * (COS(RADIANS(D909) - RADIANS('Hydrologie-Méthode rationnelle'!$C$23)))) * 6371)</f>
        <v/>
      </c>
    </row>
    <row r="910" spans="5:5">
      <c r="E910" s="263" t="str">
        <f>IF(OR(C910="",D910=""),"",ACOS((SIN(RADIANS(C910)) * SIN(RADIANS('Hydrologie-Méthode rationnelle'!$C$22))) + (COS(RADIANS(C910)) * COS(RADIANS('Hydrologie-Méthode rationnelle'!$C$22))) * (COS(RADIANS(D910) - RADIANS('Hydrologie-Méthode rationnelle'!$C$23)))) * 6371)</f>
        <v/>
      </c>
    </row>
    <row r="911" spans="5:5">
      <c r="E911" s="263" t="str">
        <f>IF(OR(C911="",D911=""),"",ACOS((SIN(RADIANS(C911)) * SIN(RADIANS('Hydrologie-Méthode rationnelle'!$C$22))) + (COS(RADIANS(C911)) * COS(RADIANS('Hydrologie-Méthode rationnelle'!$C$22))) * (COS(RADIANS(D911) - RADIANS('Hydrologie-Méthode rationnelle'!$C$23)))) * 6371)</f>
        <v/>
      </c>
    </row>
    <row r="912" spans="5:5">
      <c r="E912" s="263" t="str">
        <f>IF(OR(C912="",D912=""),"",ACOS((SIN(RADIANS(C912)) * SIN(RADIANS('Hydrologie-Méthode rationnelle'!$C$22))) + (COS(RADIANS(C912)) * COS(RADIANS('Hydrologie-Méthode rationnelle'!$C$22))) * (COS(RADIANS(D912) - RADIANS('Hydrologie-Méthode rationnelle'!$C$23)))) * 6371)</f>
        <v/>
      </c>
    </row>
    <row r="913" spans="5:5">
      <c r="E913" s="263" t="str">
        <f>IF(OR(C913="",D913=""),"",ACOS((SIN(RADIANS(C913)) * SIN(RADIANS('Hydrologie-Méthode rationnelle'!$C$22))) + (COS(RADIANS(C913)) * COS(RADIANS('Hydrologie-Méthode rationnelle'!$C$22))) * (COS(RADIANS(D913) - RADIANS('Hydrologie-Méthode rationnelle'!$C$23)))) * 6371)</f>
        <v/>
      </c>
    </row>
    <row r="914" spans="5:5">
      <c r="E914" s="263" t="str">
        <f>IF(OR(C914="",D914=""),"",ACOS((SIN(RADIANS(C914)) * SIN(RADIANS('Hydrologie-Méthode rationnelle'!$C$22))) + (COS(RADIANS(C914)) * COS(RADIANS('Hydrologie-Méthode rationnelle'!$C$22))) * (COS(RADIANS(D914) - RADIANS('Hydrologie-Méthode rationnelle'!$C$23)))) * 6371)</f>
        <v/>
      </c>
    </row>
    <row r="915" spans="5:5">
      <c r="E915" s="263" t="str">
        <f>IF(OR(C915="",D915=""),"",ACOS((SIN(RADIANS(C915)) * SIN(RADIANS('Hydrologie-Méthode rationnelle'!$C$22))) + (COS(RADIANS(C915)) * COS(RADIANS('Hydrologie-Méthode rationnelle'!$C$22))) * (COS(RADIANS(D915) - RADIANS('Hydrologie-Méthode rationnelle'!$C$23)))) * 6371)</f>
        <v/>
      </c>
    </row>
    <row r="916" spans="5:5">
      <c r="E916" s="263" t="str">
        <f>IF(OR(C916="",D916=""),"",ACOS((SIN(RADIANS(C916)) * SIN(RADIANS('Hydrologie-Méthode rationnelle'!$C$22))) + (COS(RADIANS(C916)) * COS(RADIANS('Hydrologie-Méthode rationnelle'!$C$22))) * (COS(RADIANS(D916) - RADIANS('Hydrologie-Méthode rationnelle'!$C$23)))) * 6371)</f>
        <v/>
      </c>
    </row>
    <row r="917" spans="5:5">
      <c r="E917" s="263" t="str">
        <f>IF(OR(C917="",D917=""),"",ACOS((SIN(RADIANS(C917)) * SIN(RADIANS('Hydrologie-Méthode rationnelle'!$C$22))) + (COS(RADIANS(C917)) * COS(RADIANS('Hydrologie-Méthode rationnelle'!$C$22))) * (COS(RADIANS(D917) - RADIANS('Hydrologie-Méthode rationnelle'!$C$23)))) * 6371)</f>
        <v/>
      </c>
    </row>
    <row r="918" spans="5:5">
      <c r="E918" s="263" t="str">
        <f>IF(OR(C918="",D918=""),"",ACOS((SIN(RADIANS(C918)) * SIN(RADIANS('Hydrologie-Méthode rationnelle'!$C$22))) + (COS(RADIANS(C918)) * COS(RADIANS('Hydrologie-Méthode rationnelle'!$C$22))) * (COS(RADIANS(D918) - RADIANS('Hydrologie-Méthode rationnelle'!$C$23)))) * 6371)</f>
        <v/>
      </c>
    </row>
    <row r="919" spans="5:5">
      <c r="E919" s="263" t="str">
        <f>IF(OR(C919="",D919=""),"",ACOS((SIN(RADIANS(C919)) * SIN(RADIANS('Hydrologie-Méthode rationnelle'!$C$22))) + (COS(RADIANS(C919)) * COS(RADIANS('Hydrologie-Méthode rationnelle'!$C$22))) * (COS(RADIANS(D919) - RADIANS('Hydrologie-Méthode rationnelle'!$C$23)))) * 6371)</f>
        <v/>
      </c>
    </row>
    <row r="920" spans="5:5">
      <c r="E920" s="263" t="str">
        <f>IF(OR(C920="",D920=""),"",ACOS((SIN(RADIANS(C920)) * SIN(RADIANS('Hydrologie-Méthode rationnelle'!$C$22))) + (COS(RADIANS(C920)) * COS(RADIANS('Hydrologie-Méthode rationnelle'!$C$22))) * (COS(RADIANS(D920) - RADIANS('Hydrologie-Méthode rationnelle'!$C$23)))) * 6371)</f>
        <v/>
      </c>
    </row>
    <row r="921" spans="5:5">
      <c r="E921" s="263" t="str">
        <f>IF(OR(C921="",D921=""),"",ACOS((SIN(RADIANS(C921)) * SIN(RADIANS('Hydrologie-Méthode rationnelle'!$C$22))) + (COS(RADIANS(C921)) * COS(RADIANS('Hydrologie-Méthode rationnelle'!$C$22))) * (COS(RADIANS(D921) - RADIANS('Hydrologie-Méthode rationnelle'!$C$23)))) * 6371)</f>
        <v/>
      </c>
    </row>
    <row r="922" spans="5:5">
      <c r="E922" s="263" t="str">
        <f>IF(OR(C922="",D922=""),"",ACOS((SIN(RADIANS(C922)) * SIN(RADIANS('Hydrologie-Méthode rationnelle'!$C$22))) + (COS(RADIANS(C922)) * COS(RADIANS('Hydrologie-Méthode rationnelle'!$C$22))) * (COS(RADIANS(D922) - RADIANS('Hydrologie-Méthode rationnelle'!$C$23)))) * 6371)</f>
        <v/>
      </c>
    </row>
    <row r="923" spans="5:5">
      <c r="E923" s="263" t="str">
        <f>IF(OR(C923="",D923=""),"",ACOS((SIN(RADIANS(C923)) * SIN(RADIANS('Hydrologie-Méthode rationnelle'!$C$22))) + (COS(RADIANS(C923)) * COS(RADIANS('Hydrologie-Méthode rationnelle'!$C$22))) * (COS(RADIANS(D923) - RADIANS('Hydrologie-Méthode rationnelle'!$C$23)))) * 6371)</f>
        <v/>
      </c>
    </row>
    <row r="924" spans="5:5">
      <c r="E924" s="263" t="str">
        <f>IF(OR(C924="",D924=""),"",ACOS((SIN(RADIANS(C924)) * SIN(RADIANS('Hydrologie-Méthode rationnelle'!$C$22))) + (COS(RADIANS(C924)) * COS(RADIANS('Hydrologie-Méthode rationnelle'!$C$22))) * (COS(RADIANS(D924) - RADIANS('Hydrologie-Méthode rationnelle'!$C$23)))) * 6371)</f>
        <v/>
      </c>
    </row>
    <row r="925" spans="5:5">
      <c r="E925" s="263" t="str">
        <f>IF(OR(C925="",D925=""),"",ACOS((SIN(RADIANS(C925)) * SIN(RADIANS('Hydrologie-Méthode rationnelle'!$C$22))) + (COS(RADIANS(C925)) * COS(RADIANS('Hydrologie-Méthode rationnelle'!$C$22))) * (COS(RADIANS(D925) - RADIANS('Hydrologie-Méthode rationnelle'!$C$23)))) * 6371)</f>
        <v/>
      </c>
    </row>
    <row r="926" spans="5:5">
      <c r="E926" s="263" t="str">
        <f>IF(OR(C926="",D926=""),"",ACOS((SIN(RADIANS(C926)) * SIN(RADIANS('Hydrologie-Méthode rationnelle'!$C$22))) + (COS(RADIANS(C926)) * COS(RADIANS('Hydrologie-Méthode rationnelle'!$C$22))) * (COS(RADIANS(D926) - RADIANS('Hydrologie-Méthode rationnelle'!$C$23)))) * 6371)</f>
        <v/>
      </c>
    </row>
    <row r="927" spans="5:5">
      <c r="E927" s="263" t="str">
        <f>IF(OR(C927="",D927=""),"",ACOS((SIN(RADIANS(C927)) * SIN(RADIANS('Hydrologie-Méthode rationnelle'!$C$22))) + (COS(RADIANS(C927)) * COS(RADIANS('Hydrologie-Méthode rationnelle'!$C$22))) * (COS(RADIANS(D927) - RADIANS('Hydrologie-Méthode rationnelle'!$C$23)))) * 6371)</f>
        <v/>
      </c>
    </row>
    <row r="928" spans="5:5">
      <c r="E928" s="263" t="str">
        <f>IF(OR(C928="",D928=""),"",ACOS((SIN(RADIANS(C928)) * SIN(RADIANS('Hydrologie-Méthode rationnelle'!$C$22))) + (COS(RADIANS(C928)) * COS(RADIANS('Hydrologie-Méthode rationnelle'!$C$22))) * (COS(RADIANS(D928) - RADIANS('Hydrologie-Méthode rationnelle'!$C$23)))) * 6371)</f>
        <v/>
      </c>
    </row>
    <row r="929" spans="5:5">
      <c r="E929" s="263" t="str">
        <f>IF(OR(C929="",D929=""),"",ACOS((SIN(RADIANS(C929)) * SIN(RADIANS('Hydrologie-Méthode rationnelle'!$C$22))) + (COS(RADIANS(C929)) * COS(RADIANS('Hydrologie-Méthode rationnelle'!$C$22))) * (COS(RADIANS(D929) - RADIANS('Hydrologie-Méthode rationnelle'!$C$23)))) * 6371)</f>
        <v/>
      </c>
    </row>
    <row r="930" spans="5:5">
      <c r="E930" s="263" t="str">
        <f>IF(OR(C930="",D930=""),"",ACOS((SIN(RADIANS(C930)) * SIN(RADIANS('Hydrologie-Méthode rationnelle'!$C$22))) + (COS(RADIANS(C930)) * COS(RADIANS('Hydrologie-Méthode rationnelle'!$C$22))) * (COS(RADIANS(D930) - RADIANS('Hydrologie-Méthode rationnelle'!$C$23)))) * 6371)</f>
        <v/>
      </c>
    </row>
    <row r="931" spans="5:5">
      <c r="E931" s="263" t="str">
        <f>IF(OR(C931="",D931=""),"",ACOS((SIN(RADIANS(C931)) * SIN(RADIANS('Hydrologie-Méthode rationnelle'!$C$22))) + (COS(RADIANS(C931)) * COS(RADIANS('Hydrologie-Méthode rationnelle'!$C$22))) * (COS(RADIANS(D931) - RADIANS('Hydrologie-Méthode rationnelle'!$C$23)))) * 6371)</f>
        <v/>
      </c>
    </row>
    <row r="932" spans="5:5">
      <c r="E932" s="263" t="str">
        <f>IF(OR(C932="",D932=""),"",ACOS((SIN(RADIANS(C932)) * SIN(RADIANS('Hydrologie-Méthode rationnelle'!$C$22))) + (COS(RADIANS(C932)) * COS(RADIANS('Hydrologie-Méthode rationnelle'!$C$22))) * (COS(RADIANS(D932) - RADIANS('Hydrologie-Méthode rationnelle'!$C$23)))) * 6371)</f>
        <v/>
      </c>
    </row>
    <row r="933" spans="5:5">
      <c r="E933" s="263" t="str">
        <f>IF(OR(C933="",D933=""),"",ACOS((SIN(RADIANS(C933)) * SIN(RADIANS('Hydrologie-Méthode rationnelle'!$C$22))) + (COS(RADIANS(C933)) * COS(RADIANS('Hydrologie-Méthode rationnelle'!$C$22))) * (COS(RADIANS(D933) - RADIANS('Hydrologie-Méthode rationnelle'!$C$23)))) * 6371)</f>
        <v/>
      </c>
    </row>
    <row r="934" spans="5:5">
      <c r="E934" s="263" t="str">
        <f>IF(OR(C934="",D934=""),"",ACOS((SIN(RADIANS(C934)) * SIN(RADIANS('Hydrologie-Méthode rationnelle'!$C$22))) + (COS(RADIANS(C934)) * COS(RADIANS('Hydrologie-Méthode rationnelle'!$C$22))) * (COS(RADIANS(D934) - RADIANS('Hydrologie-Méthode rationnelle'!$C$23)))) * 6371)</f>
        <v/>
      </c>
    </row>
    <row r="935" spans="5:5">
      <c r="E935" s="263" t="str">
        <f>IF(OR(C935="",D935=""),"",ACOS((SIN(RADIANS(C935)) * SIN(RADIANS('Hydrologie-Méthode rationnelle'!$C$22))) + (COS(RADIANS(C935)) * COS(RADIANS('Hydrologie-Méthode rationnelle'!$C$22))) * (COS(RADIANS(D935) - RADIANS('Hydrologie-Méthode rationnelle'!$C$23)))) * 6371)</f>
        <v/>
      </c>
    </row>
    <row r="936" spans="5:5">
      <c r="E936" s="263" t="str">
        <f>IF(OR(C936="",D936=""),"",ACOS((SIN(RADIANS(C936)) * SIN(RADIANS('Hydrologie-Méthode rationnelle'!$C$22))) + (COS(RADIANS(C936)) * COS(RADIANS('Hydrologie-Méthode rationnelle'!$C$22))) * (COS(RADIANS(D936) - RADIANS('Hydrologie-Méthode rationnelle'!$C$23)))) * 6371)</f>
        <v/>
      </c>
    </row>
    <row r="937" spans="5:5">
      <c r="E937" s="263" t="str">
        <f>IF(OR(C937="",D937=""),"",ACOS((SIN(RADIANS(C937)) * SIN(RADIANS('Hydrologie-Méthode rationnelle'!$C$22))) + (COS(RADIANS(C937)) * COS(RADIANS('Hydrologie-Méthode rationnelle'!$C$22))) * (COS(RADIANS(D937) - RADIANS('Hydrologie-Méthode rationnelle'!$C$23)))) * 6371)</f>
        <v/>
      </c>
    </row>
    <row r="938" spans="5:5">
      <c r="E938" s="263" t="str">
        <f>IF(OR(C938="",D938=""),"",ACOS((SIN(RADIANS(C938)) * SIN(RADIANS('Hydrologie-Méthode rationnelle'!$C$22))) + (COS(RADIANS(C938)) * COS(RADIANS('Hydrologie-Méthode rationnelle'!$C$22))) * (COS(RADIANS(D938) - RADIANS('Hydrologie-Méthode rationnelle'!$C$23)))) * 6371)</f>
        <v/>
      </c>
    </row>
    <row r="939" spans="5:5">
      <c r="E939" s="263" t="str">
        <f>IF(OR(C939="",D939=""),"",ACOS((SIN(RADIANS(C939)) * SIN(RADIANS('Hydrologie-Méthode rationnelle'!$C$22))) + (COS(RADIANS(C939)) * COS(RADIANS('Hydrologie-Méthode rationnelle'!$C$22))) * (COS(RADIANS(D939) - RADIANS('Hydrologie-Méthode rationnelle'!$C$23)))) * 6371)</f>
        <v/>
      </c>
    </row>
    <row r="940" spans="5:5">
      <c r="E940" s="263" t="str">
        <f>IF(OR(C940="",D940=""),"",ACOS((SIN(RADIANS(C940)) * SIN(RADIANS('Hydrologie-Méthode rationnelle'!$C$22))) + (COS(RADIANS(C940)) * COS(RADIANS('Hydrologie-Méthode rationnelle'!$C$22))) * (COS(RADIANS(D940) - RADIANS('Hydrologie-Méthode rationnelle'!$C$23)))) * 6371)</f>
        <v/>
      </c>
    </row>
    <row r="941" spans="5:5">
      <c r="E941" s="263" t="str">
        <f>IF(OR(C941="",D941=""),"",ACOS((SIN(RADIANS(C941)) * SIN(RADIANS('Hydrologie-Méthode rationnelle'!$C$22))) + (COS(RADIANS(C941)) * COS(RADIANS('Hydrologie-Méthode rationnelle'!$C$22))) * (COS(RADIANS(D941) - RADIANS('Hydrologie-Méthode rationnelle'!$C$23)))) * 6371)</f>
        <v/>
      </c>
    </row>
    <row r="942" spans="5:5">
      <c r="E942" s="263" t="str">
        <f>IF(OR(C942="",D942=""),"",ACOS((SIN(RADIANS(C942)) * SIN(RADIANS('Hydrologie-Méthode rationnelle'!$C$22))) + (COS(RADIANS(C942)) * COS(RADIANS('Hydrologie-Méthode rationnelle'!$C$22))) * (COS(RADIANS(D942) - RADIANS('Hydrologie-Méthode rationnelle'!$C$23)))) * 6371)</f>
        <v/>
      </c>
    </row>
    <row r="943" spans="5:5">
      <c r="E943" s="263" t="str">
        <f>IF(OR(C943="",D943=""),"",ACOS((SIN(RADIANS(C943)) * SIN(RADIANS('Hydrologie-Méthode rationnelle'!$C$22))) + (COS(RADIANS(C943)) * COS(RADIANS('Hydrologie-Méthode rationnelle'!$C$22))) * (COS(RADIANS(D943) - RADIANS('Hydrologie-Méthode rationnelle'!$C$23)))) * 6371)</f>
        <v/>
      </c>
    </row>
    <row r="944" spans="5:5">
      <c r="E944" s="263" t="str">
        <f>IF(OR(C944="",D944=""),"",ACOS((SIN(RADIANS(C944)) * SIN(RADIANS('Hydrologie-Méthode rationnelle'!$C$22))) + (COS(RADIANS(C944)) * COS(RADIANS('Hydrologie-Méthode rationnelle'!$C$22))) * (COS(RADIANS(D944) - RADIANS('Hydrologie-Méthode rationnelle'!$C$23)))) * 6371)</f>
        <v/>
      </c>
    </row>
    <row r="945" spans="5:5">
      <c r="E945" s="263" t="str">
        <f>IF(OR(C945="",D945=""),"",ACOS((SIN(RADIANS(C945)) * SIN(RADIANS('Hydrologie-Méthode rationnelle'!$C$22))) + (COS(RADIANS(C945)) * COS(RADIANS('Hydrologie-Méthode rationnelle'!$C$22))) * (COS(RADIANS(D945) - RADIANS('Hydrologie-Méthode rationnelle'!$C$23)))) * 6371)</f>
        <v/>
      </c>
    </row>
    <row r="946" spans="5:5">
      <c r="E946" s="263" t="str">
        <f>IF(OR(C946="",D946=""),"",ACOS((SIN(RADIANS(C946)) * SIN(RADIANS('Hydrologie-Méthode rationnelle'!$C$22))) + (COS(RADIANS(C946)) * COS(RADIANS('Hydrologie-Méthode rationnelle'!$C$22))) * (COS(RADIANS(D946) - RADIANS('Hydrologie-Méthode rationnelle'!$C$23)))) * 6371)</f>
        <v/>
      </c>
    </row>
    <row r="947" spans="5:5">
      <c r="E947" s="263" t="str">
        <f>IF(OR(C947="",D947=""),"",ACOS((SIN(RADIANS(C947)) * SIN(RADIANS('Hydrologie-Méthode rationnelle'!$C$22))) + (COS(RADIANS(C947)) * COS(RADIANS('Hydrologie-Méthode rationnelle'!$C$22))) * (COS(RADIANS(D947) - RADIANS('Hydrologie-Méthode rationnelle'!$C$23)))) * 6371)</f>
        <v/>
      </c>
    </row>
    <row r="948" spans="5:5">
      <c r="E948" s="263" t="str">
        <f>IF(OR(C948="",D948=""),"",ACOS((SIN(RADIANS(C948)) * SIN(RADIANS('Hydrologie-Méthode rationnelle'!$C$22))) + (COS(RADIANS(C948)) * COS(RADIANS('Hydrologie-Méthode rationnelle'!$C$22))) * (COS(RADIANS(D948) - RADIANS('Hydrologie-Méthode rationnelle'!$C$23)))) * 6371)</f>
        <v/>
      </c>
    </row>
    <row r="949" spans="5:5">
      <c r="E949" s="263" t="str">
        <f>IF(OR(C949="",D949=""),"",ACOS((SIN(RADIANS(C949)) * SIN(RADIANS('Hydrologie-Méthode rationnelle'!$C$22))) + (COS(RADIANS(C949)) * COS(RADIANS('Hydrologie-Méthode rationnelle'!$C$22))) * (COS(RADIANS(D949) - RADIANS('Hydrologie-Méthode rationnelle'!$C$23)))) * 6371)</f>
        <v/>
      </c>
    </row>
    <row r="950" spans="5:5">
      <c r="E950" s="263" t="str">
        <f>IF(OR(C950="",D950=""),"",ACOS((SIN(RADIANS(C950)) * SIN(RADIANS('Hydrologie-Méthode rationnelle'!$C$22))) + (COS(RADIANS(C950)) * COS(RADIANS('Hydrologie-Méthode rationnelle'!$C$22))) * (COS(RADIANS(D950) - RADIANS('Hydrologie-Méthode rationnelle'!$C$23)))) * 6371)</f>
        <v/>
      </c>
    </row>
    <row r="951" spans="5:5">
      <c r="E951" s="263" t="str">
        <f>IF(OR(C951="",D951=""),"",ACOS((SIN(RADIANS(C951)) * SIN(RADIANS('Hydrologie-Méthode rationnelle'!$C$22))) + (COS(RADIANS(C951)) * COS(RADIANS('Hydrologie-Méthode rationnelle'!$C$22))) * (COS(RADIANS(D951) - RADIANS('Hydrologie-Méthode rationnelle'!$C$23)))) * 6371)</f>
        <v/>
      </c>
    </row>
    <row r="952" spans="5:5">
      <c r="E952" s="263" t="str">
        <f>IF(OR(C952="",D952=""),"",ACOS((SIN(RADIANS(C952)) * SIN(RADIANS('Hydrologie-Méthode rationnelle'!$C$22))) + (COS(RADIANS(C952)) * COS(RADIANS('Hydrologie-Méthode rationnelle'!$C$22))) * (COS(RADIANS(D952) - RADIANS('Hydrologie-Méthode rationnelle'!$C$23)))) * 6371)</f>
        <v/>
      </c>
    </row>
    <row r="953" spans="5:5">
      <c r="E953" s="263" t="str">
        <f>IF(OR(C953="",D953=""),"",ACOS((SIN(RADIANS(C953)) * SIN(RADIANS('Hydrologie-Méthode rationnelle'!$C$22))) + (COS(RADIANS(C953)) * COS(RADIANS('Hydrologie-Méthode rationnelle'!$C$22))) * (COS(RADIANS(D953) - RADIANS('Hydrologie-Méthode rationnelle'!$C$23)))) * 6371)</f>
        <v/>
      </c>
    </row>
    <row r="954" spans="5:5">
      <c r="E954" s="263" t="str">
        <f>IF(OR(C954="",D954=""),"",ACOS((SIN(RADIANS(C954)) * SIN(RADIANS('Hydrologie-Méthode rationnelle'!$C$22))) + (COS(RADIANS(C954)) * COS(RADIANS('Hydrologie-Méthode rationnelle'!$C$22))) * (COS(RADIANS(D954) - RADIANS('Hydrologie-Méthode rationnelle'!$C$23)))) * 6371)</f>
        <v/>
      </c>
    </row>
    <row r="955" spans="5:5">
      <c r="E955" s="263" t="str">
        <f>IF(OR(C955="",D955=""),"",ACOS((SIN(RADIANS(C955)) * SIN(RADIANS('Hydrologie-Méthode rationnelle'!$C$22))) + (COS(RADIANS(C955)) * COS(RADIANS('Hydrologie-Méthode rationnelle'!$C$22))) * (COS(RADIANS(D955) - RADIANS('Hydrologie-Méthode rationnelle'!$C$23)))) * 6371)</f>
        <v/>
      </c>
    </row>
    <row r="956" spans="5:5">
      <c r="E956" s="263" t="str">
        <f>IF(OR(C956="",D956=""),"",ACOS((SIN(RADIANS(C956)) * SIN(RADIANS('Hydrologie-Méthode rationnelle'!$C$22))) + (COS(RADIANS(C956)) * COS(RADIANS('Hydrologie-Méthode rationnelle'!$C$22))) * (COS(RADIANS(D956) - RADIANS('Hydrologie-Méthode rationnelle'!$C$23)))) * 6371)</f>
        <v/>
      </c>
    </row>
    <row r="957" spans="5:5">
      <c r="E957" s="263" t="str">
        <f>IF(OR(C957="",D957=""),"",ACOS((SIN(RADIANS(C957)) * SIN(RADIANS('Hydrologie-Méthode rationnelle'!$C$22))) + (COS(RADIANS(C957)) * COS(RADIANS('Hydrologie-Méthode rationnelle'!$C$22))) * (COS(RADIANS(D957) - RADIANS('Hydrologie-Méthode rationnelle'!$C$23)))) * 6371)</f>
        <v/>
      </c>
    </row>
    <row r="958" spans="5:5">
      <c r="E958" s="263" t="str">
        <f>IF(OR(C958="",D958=""),"",ACOS((SIN(RADIANS(C958)) * SIN(RADIANS('Hydrologie-Méthode rationnelle'!$C$22))) + (COS(RADIANS(C958)) * COS(RADIANS('Hydrologie-Méthode rationnelle'!$C$22))) * (COS(RADIANS(D958) - RADIANS('Hydrologie-Méthode rationnelle'!$C$23)))) * 6371)</f>
        <v/>
      </c>
    </row>
    <row r="959" spans="5:5">
      <c r="E959" s="263" t="str">
        <f>IF(OR(C959="",D959=""),"",ACOS((SIN(RADIANS(C959)) * SIN(RADIANS('Hydrologie-Méthode rationnelle'!$C$22))) + (COS(RADIANS(C959)) * COS(RADIANS('Hydrologie-Méthode rationnelle'!$C$22))) * (COS(RADIANS(D959) - RADIANS('Hydrologie-Méthode rationnelle'!$C$23)))) * 6371)</f>
        <v/>
      </c>
    </row>
    <row r="960" spans="5:5">
      <c r="E960" s="263" t="str">
        <f>IF(OR(C960="",D960=""),"",ACOS((SIN(RADIANS(C960)) * SIN(RADIANS('Hydrologie-Méthode rationnelle'!$C$22))) + (COS(RADIANS(C960)) * COS(RADIANS('Hydrologie-Méthode rationnelle'!$C$22))) * (COS(RADIANS(D960) - RADIANS('Hydrologie-Méthode rationnelle'!$C$23)))) * 6371)</f>
        <v/>
      </c>
    </row>
    <row r="961" spans="5:5">
      <c r="E961" s="263" t="str">
        <f>IF(OR(C961="",D961=""),"",ACOS((SIN(RADIANS(C961)) * SIN(RADIANS('Hydrologie-Méthode rationnelle'!$C$22))) + (COS(RADIANS(C961)) * COS(RADIANS('Hydrologie-Méthode rationnelle'!$C$22))) * (COS(RADIANS(D961) - RADIANS('Hydrologie-Méthode rationnelle'!$C$23)))) * 6371)</f>
        <v/>
      </c>
    </row>
    <row r="962" spans="5:5">
      <c r="E962" s="263" t="str">
        <f>IF(OR(C962="",D962=""),"",ACOS((SIN(RADIANS(C962)) * SIN(RADIANS('Hydrologie-Méthode rationnelle'!$C$22))) + (COS(RADIANS(C962)) * COS(RADIANS('Hydrologie-Méthode rationnelle'!$C$22))) * (COS(RADIANS(D962) - RADIANS('Hydrologie-Méthode rationnelle'!$C$23)))) * 6371)</f>
        <v/>
      </c>
    </row>
    <row r="963" spans="5:5">
      <c r="E963" s="263" t="str">
        <f>IF(OR(C963="",D963=""),"",ACOS((SIN(RADIANS(C963)) * SIN(RADIANS('Hydrologie-Méthode rationnelle'!$C$22))) + (COS(RADIANS(C963)) * COS(RADIANS('Hydrologie-Méthode rationnelle'!$C$22))) * (COS(RADIANS(D963) - RADIANS('Hydrologie-Méthode rationnelle'!$C$23)))) * 6371)</f>
        <v/>
      </c>
    </row>
    <row r="964" spans="5:5">
      <c r="E964" s="263" t="str">
        <f>IF(OR(C964="",D964=""),"",ACOS((SIN(RADIANS(C964)) * SIN(RADIANS('Hydrologie-Méthode rationnelle'!$C$22))) + (COS(RADIANS(C964)) * COS(RADIANS('Hydrologie-Méthode rationnelle'!$C$22))) * (COS(RADIANS(D964) - RADIANS('Hydrologie-Méthode rationnelle'!$C$23)))) * 6371)</f>
        <v/>
      </c>
    </row>
    <row r="965" spans="5:5">
      <c r="E965" s="263" t="str">
        <f>IF(OR(C965="",D965=""),"",ACOS((SIN(RADIANS(C965)) * SIN(RADIANS('Hydrologie-Méthode rationnelle'!$C$22))) + (COS(RADIANS(C965)) * COS(RADIANS('Hydrologie-Méthode rationnelle'!$C$22))) * (COS(RADIANS(D965) - RADIANS('Hydrologie-Méthode rationnelle'!$C$23)))) * 6371)</f>
        <v/>
      </c>
    </row>
    <row r="966" spans="5:5">
      <c r="E966" s="263" t="str">
        <f>IF(OR(C966="",D966=""),"",ACOS((SIN(RADIANS(C966)) * SIN(RADIANS('Hydrologie-Méthode rationnelle'!$C$22))) + (COS(RADIANS(C966)) * COS(RADIANS('Hydrologie-Méthode rationnelle'!$C$22))) * (COS(RADIANS(D966) - RADIANS('Hydrologie-Méthode rationnelle'!$C$23)))) * 6371)</f>
        <v/>
      </c>
    </row>
    <row r="967" spans="5:5">
      <c r="E967" s="263" t="str">
        <f>IF(OR(C967="",D967=""),"",ACOS((SIN(RADIANS(C967)) * SIN(RADIANS('Hydrologie-Méthode rationnelle'!$C$22))) + (COS(RADIANS(C967)) * COS(RADIANS('Hydrologie-Méthode rationnelle'!$C$22))) * (COS(RADIANS(D967) - RADIANS('Hydrologie-Méthode rationnelle'!$C$23)))) * 6371)</f>
        <v/>
      </c>
    </row>
    <row r="968" spans="5:5">
      <c r="E968" s="263" t="str">
        <f>IF(OR(C968="",D968=""),"",ACOS((SIN(RADIANS(C968)) * SIN(RADIANS('Hydrologie-Méthode rationnelle'!$C$22))) + (COS(RADIANS(C968)) * COS(RADIANS('Hydrologie-Méthode rationnelle'!$C$22))) * (COS(RADIANS(D968) - RADIANS('Hydrologie-Méthode rationnelle'!$C$23)))) * 6371)</f>
        <v/>
      </c>
    </row>
    <row r="969" spans="5:5">
      <c r="E969" s="263" t="str">
        <f>IF(OR(C969="",D969=""),"",ACOS((SIN(RADIANS(C969)) * SIN(RADIANS('Hydrologie-Méthode rationnelle'!$C$22))) + (COS(RADIANS(C969)) * COS(RADIANS('Hydrologie-Méthode rationnelle'!$C$22))) * (COS(RADIANS(D969) - RADIANS('Hydrologie-Méthode rationnelle'!$C$23)))) * 6371)</f>
        <v/>
      </c>
    </row>
    <row r="970" spans="5:5">
      <c r="E970" s="263" t="str">
        <f>IF(OR(C970="",D970=""),"",ACOS((SIN(RADIANS(C970)) * SIN(RADIANS('Hydrologie-Méthode rationnelle'!$C$22))) + (COS(RADIANS(C970)) * COS(RADIANS('Hydrologie-Méthode rationnelle'!$C$22))) * (COS(RADIANS(D970) - RADIANS('Hydrologie-Méthode rationnelle'!$C$23)))) * 6371)</f>
        <v/>
      </c>
    </row>
    <row r="971" spans="5:5">
      <c r="E971" s="263" t="str">
        <f>IF(OR(C971="",D971=""),"",ACOS((SIN(RADIANS(C971)) * SIN(RADIANS('Hydrologie-Méthode rationnelle'!$C$22))) + (COS(RADIANS(C971)) * COS(RADIANS('Hydrologie-Méthode rationnelle'!$C$22))) * (COS(RADIANS(D971) - RADIANS('Hydrologie-Méthode rationnelle'!$C$23)))) * 6371)</f>
        <v/>
      </c>
    </row>
    <row r="972" spans="5:5">
      <c r="E972" s="263" t="str">
        <f>IF(OR(C972="",D972=""),"",ACOS((SIN(RADIANS(C972)) * SIN(RADIANS('Hydrologie-Méthode rationnelle'!$C$22))) + (COS(RADIANS(C972)) * COS(RADIANS('Hydrologie-Méthode rationnelle'!$C$22))) * (COS(RADIANS(D972) - RADIANS('Hydrologie-Méthode rationnelle'!$C$23)))) * 6371)</f>
        <v/>
      </c>
    </row>
    <row r="973" spans="5:5">
      <c r="E973" s="263" t="str">
        <f>IF(OR(C973="",D973=""),"",ACOS((SIN(RADIANS(C973)) * SIN(RADIANS('Hydrologie-Méthode rationnelle'!$C$22))) + (COS(RADIANS(C973)) * COS(RADIANS('Hydrologie-Méthode rationnelle'!$C$22))) * (COS(RADIANS(D973) - RADIANS('Hydrologie-Méthode rationnelle'!$C$23)))) * 6371)</f>
        <v/>
      </c>
    </row>
    <row r="974" spans="5:5">
      <c r="E974" s="263" t="str">
        <f>IF(OR(C974="",D974=""),"",ACOS((SIN(RADIANS(C974)) * SIN(RADIANS('Hydrologie-Méthode rationnelle'!$C$22))) + (COS(RADIANS(C974)) * COS(RADIANS('Hydrologie-Méthode rationnelle'!$C$22))) * (COS(RADIANS(D974) - RADIANS('Hydrologie-Méthode rationnelle'!$C$23)))) * 6371)</f>
        <v/>
      </c>
    </row>
    <row r="975" spans="5:5">
      <c r="E975" s="263" t="str">
        <f>IF(OR(C975="",D975=""),"",ACOS((SIN(RADIANS(C975)) * SIN(RADIANS('Hydrologie-Méthode rationnelle'!$C$22))) + (COS(RADIANS(C975)) * COS(RADIANS('Hydrologie-Méthode rationnelle'!$C$22))) * (COS(RADIANS(D975) - RADIANS('Hydrologie-Méthode rationnelle'!$C$23)))) * 6371)</f>
        <v/>
      </c>
    </row>
    <row r="976" spans="5:5">
      <c r="E976" s="263" t="str">
        <f>IF(OR(C976="",D976=""),"",ACOS((SIN(RADIANS(C976)) * SIN(RADIANS('Hydrologie-Méthode rationnelle'!$C$22))) + (COS(RADIANS(C976)) * COS(RADIANS('Hydrologie-Méthode rationnelle'!$C$22))) * (COS(RADIANS(D976) - RADIANS('Hydrologie-Méthode rationnelle'!$C$23)))) * 6371)</f>
        <v/>
      </c>
    </row>
    <row r="977" spans="5:5">
      <c r="E977" s="263" t="str">
        <f>IF(OR(C977="",D977=""),"",ACOS((SIN(RADIANS(C977)) * SIN(RADIANS('Hydrologie-Méthode rationnelle'!$C$22))) + (COS(RADIANS(C977)) * COS(RADIANS('Hydrologie-Méthode rationnelle'!$C$22))) * (COS(RADIANS(D977) - RADIANS('Hydrologie-Méthode rationnelle'!$C$23)))) * 6371)</f>
        <v/>
      </c>
    </row>
    <row r="978" spans="5:5">
      <c r="E978" s="263" t="str">
        <f>IF(OR(C978="",D978=""),"",ACOS((SIN(RADIANS(C978)) * SIN(RADIANS('Hydrologie-Méthode rationnelle'!$C$22))) + (COS(RADIANS(C978)) * COS(RADIANS('Hydrologie-Méthode rationnelle'!$C$22))) * (COS(RADIANS(D978) - RADIANS('Hydrologie-Méthode rationnelle'!$C$23)))) * 6371)</f>
        <v/>
      </c>
    </row>
    <row r="979" spans="5:5">
      <c r="E979" s="263" t="str">
        <f>IF(OR(C979="",D979=""),"",ACOS((SIN(RADIANS(C979)) * SIN(RADIANS('Hydrologie-Méthode rationnelle'!$C$22))) + (COS(RADIANS(C979)) * COS(RADIANS('Hydrologie-Méthode rationnelle'!$C$22))) * (COS(RADIANS(D979) - RADIANS('Hydrologie-Méthode rationnelle'!$C$23)))) * 6371)</f>
        <v/>
      </c>
    </row>
    <row r="980" spans="5:5">
      <c r="E980" s="263" t="str">
        <f>IF(OR(C980="",D980=""),"",ACOS((SIN(RADIANS(C980)) * SIN(RADIANS('Hydrologie-Méthode rationnelle'!$C$22))) + (COS(RADIANS(C980)) * COS(RADIANS('Hydrologie-Méthode rationnelle'!$C$22))) * (COS(RADIANS(D980) - RADIANS('Hydrologie-Méthode rationnelle'!$C$23)))) * 6371)</f>
        <v/>
      </c>
    </row>
    <row r="981" spans="5:5">
      <c r="E981" s="263" t="str">
        <f>IF(OR(C981="",D981=""),"",ACOS((SIN(RADIANS(C981)) * SIN(RADIANS('Hydrologie-Méthode rationnelle'!$C$22))) + (COS(RADIANS(C981)) * COS(RADIANS('Hydrologie-Méthode rationnelle'!$C$22))) * (COS(RADIANS(D981) - RADIANS('Hydrologie-Méthode rationnelle'!$C$23)))) * 6371)</f>
        <v/>
      </c>
    </row>
    <row r="982" spans="5:5">
      <c r="E982" s="263" t="str">
        <f>IF(OR(C982="",D982=""),"",ACOS((SIN(RADIANS(C982)) * SIN(RADIANS('Hydrologie-Méthode rationnelle'!$C$22))) + (COS(RADIANS(C982)) * COS(RADIANS('Hydrologie-Méthode rationnelle'!$C$22))) * (COS(RADIANS(D982) - RADIANS('Hydrologie-Méthode rationnelle'!$C$23)))) * 6371)</f>
        <v/>
      </c>
    </row>
    <row r="983" spans="5:5">
      <c r="E983" s="263" t="str">
        <f>IF(OR(C983="",D983=""),"",ACOS((SIN(RADIANS(C983)) * SIN(RADIANS('Hydrologie-Méthode rationnelle'!$C$22))) + (COS(RADIANS(C983)) * COS(RADIANS('Hydrologie-Méthode rationnelle'!$C$22))) * (COS(RADIANS(D983) - RADIANS('Hydrologie-Méthode rationnelle'!$C$23)))) * 6371)</f>
        <v/>
      </c>
    </row>
    <row r="984" spans="5:5">
      <c r="E984" s="263" t="str">
        <f>IF(OR(C984="",D984=""),"",ACOS((SIN(RADIANS(C984)) * SIN(RADIANS('Hydrologie-Méthode rationnelle'!$C$22))) + (COS(RADIANS(C984)) * COS(RADIANS('Hydrologie-Méthode rationnelle'!$C$22))) * (COS(RADIANS(D984) - RADIANS('Hydrologie-Méthode rationnelle'!$C$23)))) * 6371)</f>
        <v/>
      </c>
    </row>
    <row r="985" spans="5:5">
      <c r="E985" s="263" t="str">
        <f>IF(OR(C985="",D985=""),"",ACOS((SIN(RADIANS(C985)) * SIN(RADIANS('Hydrologie-Méthode rationnelle'!$C$22))) + (COS(RADIANS(C985)) * COS(RADIANS('Hydrologie-Méthode rationnelle'!$C$22))) * (COS(RADIANS(D985) - RADIANS('Hydrologie-Méthode rationnelle'!$C$23)))) * 6371)</f>
        <v/>
      </c>
    </row>
    <row r="986" spans="5:5">
      <c r="E986" s="263" t="str">
        <f>IF(OR(C986="",D986=""),"",ACOS((SIN(RADIANS(C986)) * SIN(RADIANS('Hydrologie-Méthode rationnelle'!$C$22))) + (COS(RADIANS(C986)) * COS(RADIANS('Hydrologie-Méthode rationnelle'!$C$22))) * (COS(RADIANS(D986) - RADIANS('Hydrologie-Méthode rationnelle'!$C$23)))) * 6371)</f>
        <v/>
      </c>
    </row>
    <row r="987" spans="5:5">
      <c r="E987" s="263" t="str">
        <f>IF(OR(C987="",D987=""),"",ACOS((SIN(RADIANS(C987)) * SIN(RADIANS('Hydrologie-Méthode rationnelle'!$C$22))) + (COS(RADIANS(C987)) * COS(RADIANS('Hydrologie-Méthode rationnelle'!$C$22))) * (COS(RADIANS(D987) - RADIANS('Hydrologie-Méthode rationnelle'!$C$23)))) * 6371)</f>
        <v/>
      </c>
    </row>
    <row r="988" spans="5:5">
      <c r="E988" s="263" t="str">
        <f>IF(OR(C988="",D988=""),"",ACOS((SIN(RADIANS(C988)) * SIN(RADIANS('Hydrologie-Méthode rationnelle'!$C$22))) + (COS(RADIANS(C988)) * COS(RADIANS('Hydrologie-Méthode rationnelle'!$C$22))) * (COS(RADIANS(D988) - RADIANS('Hydrologie-Méthode rationnelle'!$C$23)))) * 6371)</f>
        <v/>
      </c>
    </row>
    <row r="989" spans="5:5">
      <c r="E989" s="263" t="str">
        <f>IF(OR(C989="",D989=""),"",ACOS((SIN(RADIANS(C989)) * SIN(RADIANS('Hydrologie-Méthode rationnelle'!$C$22))) + (COS(RADIANS(C989)) * COS(RADIANS('Hydrologie-Méthode rationnelle'!$C$22))) * (COS(RADIANS(D989) - RADIANS('Hydrologie-Méthode rationnelle'!$C$23)))) * 6371)</f>
        <v/>
      </c>
    </row>
    <row r="990" spans="5:5">
      <c r="E990" s="263" t="str">
        <f>IF(OR(C990="",D990=""),"",ACOS((SIN(RADIANS(C990)) * SIN(RADIANS('Hydrologie-Méthode rationnelle'!$C$22))) + (COS(RADIANS(C990)) * COS(RADIANS('Hydrologie-Méthode rationnelle'!$C$22))) * (COS(RADIANS(D990) - RADIANS('Hydrologie-Méthode rationnelle'!$C$23)))) * 6371)</f>
        <v/>
      </c>
    </row>
    <row r="991" spans="5:5">
      <c r="E991" s="263" t="str">
        <f>IF(OR(C991="",D991=""),"",ACOS((SIN(RADIANS(C991)) * SIN(RADIANS('Hydrologie-Méthode rationnelle'!$C$22))) + (COS(RADIANS(C991)) * COS(RADIANS('Hydrologie-Méthode rationnelle'!$C$22))) * (COS(RADIANS(D991) - RADIANS('Hydrologie-Méthode rationnelle'!$C$23)))) * 6371)</f>
        <v/>
      </c>
    </row>
    <row r="992" spans="5:5">
      <c r="E992" s="263" t="str">
        <f>IF(OR(C992="",D992=""),"",ACOS((SIN(RADIANS(C992)) * SIN(RADIANS('Hydrologie-Méthode rationnelle'!$C$22))) + (COS(RADIANS(C992)) * COS(RADIANS('Hydrologie-Méthode rationnelle'!$C$22))) * (COS(RADIANS(D992) - RADIANS('Hydrologie-Méthode rationnelle'!$C$23)))) * 6371)</f>
        <v/>
      </c>
    </row>
    <row r="993" spans="5:5">
      <c r="E993" s="263" t="str">
        <f>IF(OR(C993="",D993=""),"",ACOS((SIN(RADIANS(C993)) * SIN(RADIANS('Hydrologie-Méthode rationnelle'!$C$22))) + (COS(RADIANS(C993)) * COS(RADIANS('Hydrologie-Méthode rationnelle'!$C$22))) * (COS(RADIANS(D993) - RADIANS('Hydrologie-Méthode rationnelle'!$C$23)))) * 6371)</f>
        <v/>
      </c>
    </row>
    <row r="994" spans="5:5">
      <c r="E994" s="263" t="str">
        <f>IF(OR(C994="",D994=""),"",ACOS((SIN(RADIANS(C994)) * SIN(RADIANS('Hydrologie-Méthode rationnelle'!$C$22))) + (COS(RADIANS(C994)) * COS(RADIANS('Hydrologie-Méthode rationnelle'!$C$22))) * (COS(RADIANS(D994) - RADIANS('Hydrologie-Méthode rationnelle'!$C$23)))) * 6371)</f>
        <v/>
      </c>
    </row>
    <row r="995" spans="5:5">
      <c r="E995" s="263" t="str">
        <f>IF(OR(C995="",D995=""),"",ACOS((SIN(RADIANS(C995)) * SIN(RADIANS('Hydrologie-Méthode rationnelle'!$C$22))) + (COS(RADIANS(C995)) * COS(RADIANS('Hydrologie-Méthode rationnelle'!$C$22))) * (COS(RADIANS(D995) - RADIANS('Hydrologie-Méthode rationnelle'!$C$23)))) * 6371)</f>
        <v/>
      </c>
    </row>
    <row r="996" spans="5:5">
      <c r="E996" s="263" t="str">
        <f>IF(OR(C996="",D996=""),"",ACOS((SIN(RADIANS(C996)) * SIN(RADIANS('Hydrologie-Méthode rationnelle'!$C$22))) + (COS(RADIANS(C996)) * COS(RADIANS('Hydrologie-Méthode rationnelle'!$C$22))) * (COS(RADIANS(D996) - RADIANS('Hydrologie-Méthode rationnelle'!$C$23)))) * 6371)</f>
        <v/>
      </c>
    </row>
    <row r="997" spans="5:5">
      <c r="E997" s="263" t="str">
        <f>IF(OR(C997="",D997=""),"",ACOS((SIN(RADIANS(C997)) * SIN(RADIANS('Hydrologie-Méthode rationnelle'!$C$22))) + (COS(RADIANS(C997)) * COS(RADIANS('Hydrologie-Méthode rationnelle'!$C$22))) * (COS(RADIANS(D997) - RADIANS('Hydrologie-Méthode rationnelle'!$C$23)))) * 6371)</f>
        <v/>
      </c>
    </row>
    <row r="998" spans="5:5">
      <c r="E998" s="263" t="str">
        <f>IF(OR(C998="",D998=""),"",ACOS((SIN(RADIANS(C998)) * SIN(RADIANS('Hydrologie-Méthode rationnelle'!$C$22))) + (COS(RADIANS(C998)) * COS(RADIANS('Hydrologie-Méthode rationnelle'!$C$22))) * (COS(RADIANS(D998) - RADIANS('Hydrologie-Méthode rationnelle'!$C$23)))) * 6371)</f>
        <v/>
      </c>
    </row>
    <row r="999" spans="5:5">
      <c r="E999" s="263" t="str">
        <f>IF(OR(C999="",D999=""),"",ACOS((SIN(RADIANS(C999)) * SIN(RADIANS('Hydrologie-Méthode rationnelle'!$C$22))) + (COS(RADIANS(C999)) * COS(RADIANS('Hydrologie-Méthode rationnelle'!$C$22))) * (COS(RADIANS(D999) - RADIANS('Hydrologie-Méthode rationnelle'!$C$23)))) * 6371)</f>
        <v/>
      </c>
    </row>
    <row r="1000" spans="5:5">
      <c r="E1000" s="263" t="str">
        <f>IF(OR(C1000="",D1000=""),"",ACOS((SIN(RADIANS(C1000)) * SIN(RADIANS('Hydrologie-Méthode rationnelle'!$C$22))) + (COS(RADIANS(C1000)) * COS(RADIANS('Hydrologie-Méthode rationnelle'!$C$22))) * (COS(RADIANS(D1000) - RADIANS('Hydrologie-Méthode rationnelle'!$C$23)))) * 6371)</f>
        <v/>
      </c>
    </row>
  </sheetData>
  <sheetProtection algorithmName="SHA-512" hashValue="nQykZoK9BJROHN3zUzOlsYQvjCAjvBdyuKROIWYbHdANACT89NF358XgU+l/MmySsui78FfTXj4wWA0lKa0DGQ==" saltValue="h9CT+KHX0vEamJPJXFL8Jw==" spinCount="100000" sheet="1" objects="1" scenarios="1"/>
  <mergeCells count="3">
    <mergeCell ref="A1:J1"/>
    <mergeCell ref="K1:X1"/>
    <mergeCell ref="Y1:AS1"/>
  </mergeCells>
  <phoneticPr fontId="4"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1016-F53F-4F2E-9FFD-FE7CE107080F}">
  <dimension ref="A1:A22"/>
  <sheetViews>
    <sheetView workbookViewId="0">
      <selection activeCell="A18" sqref="A18"/>
    </sheetView>
  </sheetViews>
  <sheetFormatPr baseColWidth="10" defaultColWidth="11.42578125" defaultRowHeight="12.75"/>
  <cols>
    <col min="1" max="16384" width="11.42578125" style="184"/>
  </cols>
  <sheetData>
    <row r="1" spans="1:1">
      <c r="A1" s="183" t="s">
        <v>462</v>
      </c>
    </row>
    <row r="2" spans="1:1">
      <c r="A2" s="185" t="s">
        <v>463</v>
      </c>
    </row>
    <row r="3" spans="1:1">
      <c r="A3" s="183" t="s">
        <v>464</v>
      </c>
    </row>
    <row r="4" spans="1:1">
      <c r="A4" s="183" t="s">
        <v>465</v>
      </c>
    </row>
    <row r="5" spans="1:1">
      <c r="A5" s="185" t="s">
        <v>463</v>
      </c>
    </row>
    <row r="6" spans="1:1">
      <c r="A6" s="184" t="s">
        <v>451</v>
      </c>
    </row>
    <row r="7" spans="1:1">
      <c r="A7" s="184" t="s">
        <v>450</v>
      </c>
    </row>
    <row r="8" spans="1:1">
      <c r="A8" s="184" t="s">
        <v>452</v>
      </c>
    </row>
    <row r="9" spans="1:1">
      <c r="A9" s="184" t="s">
        <v>453</v>
      </c>
    </row>
    <row r="10" spans="1:1">
      <c r="A10" s="184" t="s">
        <v>454</v>
      </c>
    </row>
    <row r="11" spans="1:1">
      <c r="A11" s="184" t="s">
        <v>456</v>
      </c>
    </row>
    <row r="12" spans="1:1">
      <c r="A12" s="184" t="s">
        <v>455</v>
      </c>
    </row>
    <row r="13" spans="1:1">
      <c r="A13" s="184" t="s">
        <v>457</v>
      </c>
    </row>
    <row r="14" spans="1:1">
      <c r="A14" s="184" t="s">
        <v>458</v>
      </c>
    </row>
    <row r="15" spans="1:1">
      <c r="A15" s="184" t="s">
        <v>459</v>
      </c>
    </row>
    <row r="16" spans="1:1">
      <c r="A16" s="184" t="s">
        <v>460</v>
      </c>
    </row>
    <row r="17" spans="1:1">
      <c r="A17" s="184" t="s">
        <v>461</v>
      </c>
    </row>
    <row r="18" spans="1:1">
      <c r="A18" s="184" t="s">
        <v>19</v>
      </c>
    </row>
    <row r="19" spans="1:1">
      <c r="A19" s="184" t="s">
        <v>20</v>
      </c>
    </row>
    <row r="20" spans="1:1">
      <c r="A20" s="184" t="s">
        <v>21</v>
      </c>
    </row>
    <row r="21" spans="1:1">
      <c r="A21" s="184" t="s">
        <v>22</v>
      </c>
    </row>
    <row r="22" spans="1:1">
      <c r="A22" s="184" t="s">
        <v>23</v>
      </c>
    </row>
  </sheetData>
  <sheetProtection algorithmName="SHA-512" hashValue="Xfshyu7sScijE0XUB88g7eIB8WLDXz6HJDhaU3XHyEI3m6G/ekvlummcVjMQ0U6joWESQ9bxIYp2ZBnO4fOMCA==" saltValue="3VLwpOFVdirC1JfO1IyiH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 Documentation et publications" ma:contentTypeID="0x0101004CF7858666DCF549A225B94A6B816A81004A9BDC62059BB04A874505459122549A" ma:contentTypeVersion="14" ma:contentTypeDescription="" ma:contentTypeScope="" ma:versionID="4b00f2b89bd446a3c9ffa1840ef15fb1">
  <xsd:schema xmlns:xsd="http://www.w3.org/2001/XMLSchema" xmlns:xs="http://www.w3.org/2001/XMLSchema" xmlns:p="http://schemas.microsoft.com/office/2006/metadata/properties" xmlns:ns1="http://schemas.microsoft.com/sharepoint/v3" xmlns:ns2="35ae7812-1ab0-4572-a6c7-91e90b93790a" targetNamespace="http://schemas.microsoft.com/office/2006/metadata/properties" ma:root="true" ma:fieldsID="c3952b6e2f96e4556c45bd792f24eb09" ns1:_="" ns2:_="">
    <xsd:import namespace="http://schemas.microsoft.com/sharepoint/v3"/>
    <xsd:import namespace="35ae7812-1ab0-4572-a6c7-91e90b93790a"/>
    <xsd:element name="properties">
      <xsd:complexType>
        <xsd:sequence>
          <xsd:element name="documentManagement">
            <xsd:complexType>
              <xsd:all>
                <xsd:element ref="ns2:DescriptionDocument" minOccurs="0"/>
                <xsd:element ref="ns1:RoutingRuleDescription" minOccurs="0"/>
                <xsd:element ref="ns2:LiensConnexes" minOccurs="0"/>
                <xsd:element ref="ns2:Theme" minOccurs="0"/>
                <xsd:element ref="ns2:SousTheme" minOccurs="0"/>
                <xsd:element ref="ns2:SousSousTheme" minOccurs="0"/>
                <xsd:element ref="ns2:TypeDocument"/>
                <xsd:element ref="ns2:ImageDocument" minOccurs="0"/>
                <xsd:element ref="ns2:ExclureImportation" minOccurs="0"/>
                <xsd:element ref="ns2:_dlc_DocId" minOccurs="0"/>
                <xsd:element ref="ns2:_dlc_DocIdUrl" minOccurs="0"/>
                <xsd:element ref="ns2:_dlc_DocIdPersistId" minOccurs="0"/>
                <xsd:element ref="ns2:DatePublication"/>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ae7812-1ab0-4572-a6c7-91e90b93790a" elementFormDefault="qualified">
    <xsd:import namespace="http://schemas.microsoft.com/office/2006/documentManagement/types"/>
    <xsd:import namespace="http://schemas.microsoft.com/office/infopath/2007/PartnerControls"/>
    <xsd:element name="DescriptionDocument" ma:index="2" nillable="true" ma:displayName="Description du document" ma:internalName="DescriptionDocument">
      <xsd:simpleType>
        <xsd:restriction base="dms:Note"/>
      </xsd:simpleType>
    </xsd:element>
    <xsd:element name="LiensConnexes" ma:index="4" nillable="true" ma:displayName="Liens connexes" ma:internalName="LiensConnexes">
      <xsd:simpleType>
        <xsd:restriction base="dms:Unknown"/>
      </xsd:simpleType>
    </xsd:element>
    <xsd:element name="Theme" ma:index="5" nillable="true" ma:displayName="Thème" ma:list="{bdebda74-ca37-41fd-90df-8d955ef10679}" ma:internalName="Theme" ma:readOnly="false" ma:showField="Title" ma:web="35ae7812-1ab0-4572-a6c7-91e90b93790a">
      <xsd:complexType>
        <xsd:complexContent>
          <xsd:extension base="dms:MultiChoiceLookup">
            <xsd:sequence>
              <xsd:element name="Value" type="dms:Lookup" maxOccurs="unbounded" minOccurs="0" nillable="true"/>
            </xsd:sequence>
          </xsd:extension>
        </xsd:complexContent>
      </xsd:complexType>
    </xsd:element>
    <xsd:element name="SousTheme" ma:index="6" nillable="true" ma:displayName="Sous-thème" ma:list="{3130be0d-b66e-408f-a776-12ba0f39c938}" ma:internalName="SousTheme" ma:readOnly="false" ma:showField="Title" ma:web="35ae7812-1ab0-4572-a6c7-91e90b93790a">
      <xsd:complexType>
        <xsd:complexContent>
          <xsd:extension base="dms:MultiChoiceLookup">
            <xsd:sequence>
              <xsd:element name="Value" type="dms:Lookup" maxOccurs="unbounded" minOccurs="0" nillable="true"/>
            </xsd:sequence>
          </xsd:extension>
        </xsd:complexContent>
      </xsd:complexType>
    </xsd:element>
    <xsd:element name="SousSousTheme" ma:index="7" nillable="true" ma:displayName="Sous sous-thème" ma:list="{30ea00ab-c7b9-4add-aca4-0637f10fb6b8}" ma:internalName="SousSousTheme" ma:readOnly="false" ma:showField="Title" ma:web="35ae7812-1ab0-4572-a6c7-91e90b93790a">
      <xsd:complexType>
        <xsd:complexContent>
          <xsd:extension base="dms:MultiChoiceLookup">
            <xsd:sequence>
              <xsd:element name="Value" type="dms:Lookup" maxOccurs="unbounded" minOccurs="0" nillable="true"/>
            </xsd:sequence>
          </xsd:extension>
        </xsd:complexContent>
      </xsd:complexType>
    </xsd:element>
    <xsd:element name="TypeDocument" ma:index="8" ma:displayName="Type de document" ma:list="{1e040e3a-8d76-437d-8fa6-548da1ec216d}" ma:internalName="TypeDocument" ma:showField="Title" ma:web="35ae7812-1ab0-4572-a6c7-91e90b93790a">
      <xsd:simpleType>
        <xsd:restriction base="dms:Lookup"/>
      </xsd:simpleType>
    </xsd:element>
    <xsd:element name="ImageDocument" ma:index="9" nillable="true" ma:displayName="Image du document" ma:format="Image" ma:internalName="ImageDocument">
      <xsd:complexType>
        <xsd:complexContent>
          <xsd:extension base="dms:URL">
            <xsd:sequence>
              <xsd:element name="Url" type="dms:ValidUrl" minOccurs="0" nillable="true"/>
              <xsd:element name="Description" type="xsd:string" nillable="true"/>
            </xsd:sequence>
          </xsd:extension>
        </xsd:complexContent>
      </xsd:complexType>
    </xsd:element>
    <xsd:element name="ExclureImportation" ma:index="11" nillable="true" ma:displayName="Exclure de l'importation" ma:default="0" ma:internalName="ExclureImportation">
      <xsd:simpleType>
        <xsd:restriction base="dms:Boolean"/>
      </xsd:simpleType>
    </xsd:element>
    <xsd:element name="_dlc_DocId" ma:index="16" nillable="true" ma:displayName="Valeur d’ID de document" ma:description="Valeur de l’ID de document affecté à cet élément." ma:internalName="_dlc_DocId" ma:readOnly="true">
      <xsd:simpleType>
        <xsd:restriction base="dms:Text"/>
      </xsd:simpleType>
    </xsd:element>
    <xsd:element name="_dlc_DocIdUrl" ma:index="17"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DatePublication" ma:index="21" ma:displayName="Date de publication" ma:default="[today]" ma:format="DateOnly" ma:internalName="DatePublication">
      <xsd:simpleType>
        <xsd:restriction base="dms:DateTime"/>
      </xsd:simpleType>
    </xsd:element>
    <xsd:element name="SharedWithUsers" ma:index="2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Type de contenu"/>
        <xsd:element ref="dc:title" minOccurs="0" maxOccurs="1" ma:index="1" ma:displayName="Titre"/>
        <xsd:element ref="dc:subject" minOccurs="0" maxOccurs="1"/>
        <xsd:element ref="dc:description" minOccurs="0" maxOccurs="1"/>
        <xsd:element name="keywords" minOccurs="0" maxOccurs="1" type="xsd:string" ma:index="10" ma:displayName="Mots clé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Document xmlns="35ae7812-1ab0-4572-a6c7-91e90b93790a">Il s'agit d'un chiffrier qui a été développé pour calculer les débits avec la méthode rationnelle. Il a été conçu spécialement pour effectuer l’évaluation de l’hydrologie de petits bassins versants selon la méthode rationnelle en suivant les recommandations du Manuel de conception des ponceaux (2024). À noter que l’interprétation des résultats obtenus doit être supervisée par un ingénieur qualifié.</DescriptionDocument>
    <DatePublication xmlns="35ae7812-1ab0-4572-a6c7-91e90b93790a">2024-07-18T04:00:00+00:00</DatePublication>
    <ExclureImportation xmlns="35ae7812-1ab0-4572-a6c7-91e90b93790a">false</ExclureImportation>
    <Theme xmlns="35ae7812-1ab0-4572-a6c7-91e90b93790a">
      <Value>3</Value>
    </Theme>
    <SousSousTheme xmlns="35ae7812-1ab0-4572-a6c7-91e90b93790a">
      <Value>154</Value>
    </SousSousTheme>
    <RoutingRuleDescription xmlns="http://schemas.microsoft.com/sharepoint/v3" xsi:nil="true"/>
    <TypeDocument xmlns="35ae7812-1ab0-4572-a6c7-91e90b93790a">78</TypeDocument>
    <SousTheme xmlns="35ae7812-1ab0-4572-a6c7-91e90b93790a">
      <Value>39</Value>
    </SousTheme>
    <ImageDocument xmlns="35ae7812-1ab0-4572-a6c7-91e90b93790a">
      <Url xsi:nil="true"/>
      <Description xsi:nil="true"/>
    </ImageDocument>
    <LiensConnexes xmlns="35ae7812-1ab0-4572-a6c7-91e90b93790a">&lt;div title="_schemaversion" id="_3"&gt;
  &lt;div title="_view"&gt;
    &lt;span title="_columns"&gt;1&lt;/span&gt;
    &lt;span title="_linkstyle"&gt;&lt;/span&gt;
    &lt;span title="_groupstyle"&gt;&lt;/span&gt;
  &lt;/div&gt;
&lt;/div&gt;</LiensConnexes>
    <_dlc_DocId xmlns="35ae7812-1ab0-4572-a6c7-91e90b93790a">UMXZNRYXENRP-985-7752</_dlc_DocId>
    <_dlc_DocIdUrl xmlns="35ae7812-1ab0-4572-a6c7-91e90b93790a">
      <Url>http://edition.simtq.mtq.min.intra/fr/projets-infrastructures/structures/documentation-structures/_layouts/15/DocIdRedir.aspx?ID=UMXZNRYXENRP-985-7752</Url>
      <Description>UMXZNRYXENRP-985-7752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EADCD2E-F7AB-4DE6-BA42-2B23F734A5EF}"/>
</file>

<file path=customXml/itemProps2.xml><?xml version="1.0" encoding="utf-8"?>
<ds:datastoreItem xmlns:ds="http://schemas.openxmlformats.org/officeDocument/2006/customXml" ds:itemID="{0455FD51-47F0-475A-B699-EE4D7965ACA2}"/>
</file>

<file path=customXml/itemProps3.xml><?xml version="1.0" encoding="utf-8"?>
<ds:datastoreItem xmlns:ds="http://schemas.openxmlformats.org/officeDocument/2006/customXml" ds:itemID="{FA88D077-F4B2-4AE5-BAB2-EBB3AD8D29B4}"/>
</file>

<file path=customXml/itemProps4.xml><?xml version="1.0" encoding="utf-8"?>
<ds:datastoreItem xmlns:ds="http://schemas.openxmlformats.org/officeDocument/2006/customXml" ds:itemID="{5B9485E0-ABB3-42D9-AB37-217D5FC064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Hydrologie-Méthode rationnelle</vt:lpstr>
      <vt:lpstr>Références</vt:lpstr>
      <vt:lpstr>Liste des stations météo</vt:lpstr>
      <vt:lpstr>Listes - Data Validation</vt:lpstr>
      <vt:lpstr>'Hydrologie-Méthode rationnelle'!Zone_d_impression</vt:lpstr>
      <vt:lpstr>Références!Zone_d_impression</vt:lpstr>
    </vt:vector>
  </TitlesOfParts>
  <Company>Ministère des Transports et de la Mobilité Durable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Notes de calculs - Hydrologie - Méthode rationnelle</dc:title>
  <dc:subject>Il s'agit d'un chiffrier qui a été développé pour calculer les débits avec la méthode rationnelle. Il a été conçu spécialement pour effectuer l’évaluation de l’hydrologie de petits bassins versants selon la méthode rationnelle en suivant les recommandations du Manuel de conception des ponceaux (2024). À noter que l’interprétation des résultats obtenus doit être supervisée par un ingénieur qualifié.</dc:subject>
  <dc:creator>Ministère des Transports et de la Mobilité Durable</dc:creator>
  <cp:keywords>Hydrologie Méthode rationelle</cp:keywords>
  <cp:lastModifiedBy>Gignac, France</cp:lastModifiedBy>
  <cp:lastPrinted>2024-04-22T18:03:40Z</cp:lastPrinted>
  <dcterms:created xsi:type="dcterms:W3CDTF">2012-03-14T18:59:11Z</dcterms:created>
  <dcterms:modified xsi:type="dcterms:W3CDTF">2024-07-18T18:21:49Z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0x0101004CF7858666DCF549A225B94A6B816A81004A9BDC62059BB04A874505459122549A</vt:lpwstr>
  </property>
  <property fmtid="{D5CDD505-2E9C-101B-9397-08002B2CF9AE}" pid="3" name="_dlc_DocIdItemGuid">
    <vt:lpwstr>6e43e833-7eab-4122-8324-8731ae87d1db</vt:lpwstr>
  </property>
</Properties>
</file>